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130" activeTab="2"/>
  </bookViews>
  <sheets>
    <sheet name="Main sheet" sheetId="1" r:id="rId1"/>
    <sheet name="Feed database" sheetId="2" r:id="rId2"/>
    <sheet name="Instructions" sheetId="3" r:id="rId3"/>
  </sheets>
  <definedNames>
    <definedName name="AnimalDetails">'Main sheet'!$C$6:$C$13</definedName>
    <definedName name="Cakes">'Feed database'!$B$28:$M$34</definedName>
    <definedName name="Comments">'Main sheet'!$B$35:$H$35</definedName>
    <definedName name="Forages">'Feed database'!$B$8:$M$14</definedName>
    <definedName name="Gr_Silage_Average" comment="Ration">'Main sheet'!$B$21:$C$31</definedName>
    <definedName name="NewFeeds">'Feed database'!$A$38:$M$66</definedName>
    <definedName name="_xlnm.Print_Area" localSheetId="0">'Main sheet'!$A$1:$I$42</definedName>
    <definedName name="Title">'Main sheet'!$C$3</definedName>
  </definedNames>
  <calcPr fullCalcOnLoad="1"/>
</workbook>
</file>

<file path=xl/comments1.xml><?xml version="1.0" encoding="utf-8"?>
<comments xmlns="http://schemas.openxmlformats.org/spreadsheetml/2006/main">
  <authors>
    <author> Tom Chamberlain</author>
  </authors>
  <commentList>
    <comment ref="B21" authorId="0">
      <text>
        <r>
          <rPr>
            <b/>
            <sz val="8"/>
            <rFont val="Tahoma"/>
            <family val="2"/>
          </rPr>
          <t>Select feed from drop down list</t>
        </r>
      </text>
    </comment>
    <comment ref="B22" authorId="0">
      <text>
        <r>
          <rPr>
            <b/>
            <sz val="8"/>
            <rFont val="Tahoma"/>
            <family val="2"/>
          </rPr>
          <t>Select feed from drop down list</t>
        </r>
        <r>
          <rPr>
            <sz val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Select feed from drop down list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Select feed from drop down list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Select feed from drop down list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Select feed from drop down list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Select feed from drop down list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>Select feed from drop down list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2"/>
          </rPr>
          <t>Select feed from drop down list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2"/>
          </rPr>
          <t>Select feed from drop down list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>Select feed from drop down list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2"/>
          </rPr>
          <t>Enter ration name - to help with future identification of print-outs etc</t>
        </r>
        <r>
          <rPr>
            <sz val="8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2"/>
          </rPr>
          <t>Enter any comments here that should appear on print out etc.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Amount of feed a cow will eat in one day.</t>
        </r>
      </text>
    </comment>
    <comment ref="C6" authorId="0">
      <text>
        <r>
          <rPr>
            <b/>
            <sz val="8"/>
            <rFont val="Tahoma"/>
            <family val="2"/>
          </rPr>
          <t>Cow weight (kgs) barren and CS 2.5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2"/>
          </rPr>
          <t xml:space="preserve"> Desired daily milk yield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Acceptable weight change (kg/day). </t>
        </r>
        <r>
          <rPr>
            <sz val="8"/>
            <rFont val="Tahoma"/>
            <family val="2"/>
          </rPr>
          <t>Max weight loss 0.5kg except for v high yielders when -0.7kg acceptable</t>
        </r>
      </text>
    </comment>
    <comment ref="C9" authorId="0">
      <text>
        <r>
          <rPr>
            <b/>
            <sz val="8"/>
            <rFont val="Tahoma"/>
            <family val="2"/>
          </rPr>
          <t xml:space="preserve">Intake correction. Use to adjust predicted intakes to actual intakes. </t>
        </r>
        <r>
          <rPr>
            <sz val="8"/>
            <rFont val="Tahoma"/>
            <family val="2"/>
          </rPr>
          <t xml:space="preserve">Figure usually 1.0 but raise to 1.1 or 1.2 for TMR's
</t>
        </r>
      </text>
    </comment>
    <comment ref="C10" authorId="0">
      <text>
        <r>
          <rPr>
            <b/>
            <sz val="8"/>
            <rFont val="Tahoma"/>
            <family val="2"/>
          </rPr>
          <t>Weeks since calving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2"/>
          </rPr>
          <t>Stage of pregnancy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Average milk butter fat for group.</t>
        </r>
        <r>
          <rPr>
            <sz val="8"/>
            <rFont val="Tahoma"/>
            <family val="2"/>
          </rPr>
          <t xml:space="preserve"> Note that high yielders may have a lower content.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Average milk protein for group. </t>
        </r>
        <r>
          <rPr>
            <sz val="8"/>
            <rFont val="Tahoma"/>
            <family val="2"/>
          </rPr>
          <t xml:space="preserve">Note that high yielders may have a lower composition.
</t>
        </r>
      </text>
    </comment>
  </commentList>
</comments>
</file>

<file path=xl/sharedStrings.xml><?xml version="1.0" encoding="utf-8"?>
<sst xmlns="http://schemas.openxmlformats.org/spreadsheetml/2006/main" count="204" uniqueCount="168">
  <si>
    <t>Reqs</t>
  </si>
  <si>
    <t>Ration</t>
  </si>
  <si>
    <t>Balance%</t>
  </si>
  <si>
    <t>Assumptions</t>
  </si>
  <si>
    <t>Calculations</t>
  </si>
  <si>
    <t>Weight</t>
  </si>
  <si>
    <t>DMI</t>
  </si>
  <si>
    <t>Km</t>
  </si>
  <si>
    <t xml:space="preserve"> </t>
  </si>
  <si>
    <t>Ca</t>
  </si>
  <si>
    <t>Mg</t>
  </si>
  <si>
    <t>P</t>
  </si>
  <si>
    <t>Milk yield</t>
  </si>
  <si>
    <t>ME</t>
  </si>
  <si>
    <t>Kl</t>
  </si>
  <si>
    <t>lact week</t>
  </si>
  <si>
    <t>CP</t>
  </si>
  <si>
    <t>Safety (%)</t>
  </si>
  <si>
    <t>maint</t>
  </si>
  <si>
    <t xml:space="preserve">lact  </t>
  </si>
  <si>
    <t>q</t>
  </si>
  <si>
    <t>preg</t>
  </si>
  <si>
    <t>dlwg</t>
  </si>
  <si>
    <t>total</t>
  </si>
  <si>
    <t>apl</t>
  </si>
  <si>
    <t>cl</t>
  </si>
  <si>
    <t>Analyses of Common Feed     All analyses per kg DM except DM which is % fresh weight.</t>
  </si>
  <si>
    <t>Intakes</t>
  </si>
  <si>
    <t>DM</t>
  </si>
  <si>
    <t>NDF</t>
  </si>
  <si>
    <t>Fat</t>
  </si>
  <si>
    <t>Sug</t>
  </si>
  <si>
    <t>Sta</t>
  </si>
  <si>
    <t>GE</t>
  </si>
  <si>
    <t>%</t>
  </si>
  <si>
    <t>MJ</t>
  </si>
  <si>
    <t>g</t>
  </si>
  <si>
    <t>Hay D50-55</t>
  </si>
  <si>
    <t>Hay D60-65</t>
  </si>
  <si>
    <t>Barley Straw</t>
  </si>
  <si>
    <t>Wh Straw</t>
  </si>
  <si>
    <t>Grass D 60-65</t>
  </si>
  <si>
    <t>Grass D 65-70</t>
  </si>
  <si>
    <t>Grass D 70-75</t>
  </si>
  <si>
    <t>Gr Silage Average</t>
  </si>
  <si>
    <t>Gr Silage Good</t>
  </si>
  <si>
    <t>Gr Silage V Good</t>
  </si>
  <si>
    <t>Maize Silage</t>
  </si>
  <si>
    <t>Barley Grain</t>
  </si>
  <si>
    <t>Citrus Pulp</t>
  </si>
  <si>
    <t>Fodder Beet</t>
  </si>
  <si>
    <t>Maize Gluten Fd</t>
  </si>
  <si>
    <t>Molasses Cane</t>
  </si>
  <si>
    <t>SBP Dry Molass</t>
  </si>
  <si>
    <t>Wheat Grain</t>
  </si>
  <si>
    <t>Brewers Grains</t>
  </si>
  <si>
    <t>Fishmeal White</t>
  </si>
  <si>
    <t>Palm Kernel Ext</t>
  </si>
  <si>
    <t>Rape Seed Meal</t>
  </si>
  <si>
    <t>Full Fat Soya</t>
  </si>
  <si>
    <t>Soyabean Ml Exp</t>
  </si>
  <si>
    <t>Cake 16%</t>
  </si>
  <si>
    <t>Cake 18%</t>
  </si>
  <si>
    <t>Cake 20%</t>
  </si>
  <si>
    <t>Cake 24%</t>
  </si>
  <si>
    <t>Cake 27%</t>
  </si>
  <si>
    <t>Cake 30%</t>
  </si>
  <si>
    <t>Cake 34%</t>
  </si>
  <si>
    <t>Mins Gen</t>
  </si>
  <si>
    <t>Mins HiP</t>
  </si>
  <si>
    <t>Fat prills</t>
  </si>
  <si>
    <t>This spread sheet is made freely available as share ware and can be widely distributed</t>
  </si>
  <si>
    <t xml:space="preserve">in this spread sheet. Please do not do this. Because of this risk A T Chamberlain can make no </t>
  </si>
  <si>
    <t>Instructions</t>
  </si>
  <si>
    <t>The spreadsheet is designed to be small and quick rather than slick so it is a little clunky in places</t>
  </si>
  <si>
    <t xml:space="preserve">Only put data in the yellow cells; all the others are locked. </t>
  </si>
  <si>
    <t>yield are already accounted for.</t>
  </si>
  <si>
    <t xml:space="preserve">The DMI corr is to take into account feed presentation etc; stage of calving, body weight and milk </t>
  </si>
  <si>
    <t>Enter the fresh weight intake per cow per day in the second column. Make sure any feeds used in</t>
  </si>
  <si>
    <t>You can alter the analyses of the grasses, silages and cakes in the yellow boxes.</t>
  </si>
  <si>
    <t>The NDF (fibre), sugars, starch and fat content are compared to the recommended limits</t>
  </si>
  <si>
    <t>Ignore every thing to the right of the 'Balance%' column as these are back ground calculations</t>
  </si>
  <si>
    <t>Good luck and I hope it is useful!</t>
  </si>
  <si>
    <t>Given the open nature of spread sheets it is possible to alter and change the data and equations</t>
  </si>
  <si>
    <t>assurances or warranties as to this spreadsheet or its output. I think that the spreadsheet is</t>
  </si>
  <si>
    <t xml:space="preserve">Dairy cow rationing is a clinical subject; it must be done in conjunction with on farm assessments and </t>
  </si>
  <si>
    <t xml:space="preserve">detailed examination and assessment of the animals, feeds and management system. Workers </t>
  </si>
  <si>
    <t>should always make an effort to assess the ration on farm and make clinical judgments before they</t>
  </si>
  <si>
    <t>as long as all three sheets are copied and they are not altered from their original state.</t>
  </si>
  <si>
    <t>use more sophisticated software to assess the ration in detail. This simple Excel spreadsheet</t>
  </si>
  <si>
    <t>Ration component</t>
  </si>
  <si>
    <t>Select feed. . . .</t>
  </si>
  <si>
    <t>Fresh kg</t>
  </si>
  <si>
    <t>TOTALS</t>
  </si>
  <si>
    <t>DMI kg</t>
  </si>
  <si>
    <t>Feed name</t>
  </si>
  <si>
    <t>Add feed1</t>
  </si>
  <si>
    <t>Add feed2</t>
  </si>
  <si>
    <t>Add feed3</t>
  </si>
  <si>
    <t>Add feed4</t>
  </si>
  <si>
    <t>Add feed5</t>
  </si>
  <si>
    <t>Add feed6</t>
  </si>
  <si>
    <t>Add feed7</t>
  </si>
  <si>
    <t>Add feed8</t>
  </si>
  <si>
    <t>Add feed9</t>
  </si>
  <si>
    <t>Add feed10</t>
  </si>
  <si>
    <t>Add feed11</t>
  </si>
  <si>
    <t>Add feed12</t>
  </si>
  <si>
    <t>Add feed13</t>
  </si>
  <si>
    <t>Add feed14</t>
  </si>
  <si>
    <t>Add feed15</t>
  </si>
  <si>
    <t>Add feed16</t>
  </si>
  <si>
    <t>Add feed17</t>
  </si>
  <si>
    <t>Add feed18</t>
  </si>
  <si>
    <t>Add feed19</t>
  </si>
  <si>
    <t>Add feed20</t>
  </si>
  <si>
    <t>Add feed21</t>
  </si>
  <si>
    <t>Add feed22</t>
  </si>
  <si>
    <t>Add feed23</t>
  </si>
  <si>
    <t>Add feed24</t>
  </si>
  <si>
    <t>Add feed25</t>
  </si>
  <si>
    <t>Add feed26</t>
  </si>
  <si>
    <t>Feed analysis</t>
  </si>
  <si>
    <t>Milk protein</t>
  </si>
  <si>
    <t>Milk butter fat</t>
  </si>
  <si>
    <t>Pregnancy week</t>
  </si>
  <si>
    <t>Weight change</t>
  </si>
  <si>
    <t>DMI Correction</t>
  </si>
  <si>
    <t>Forage</t>
  </si>
  <si>
    <t>NDF minimum</t>
  </si>
  <si>
    <t>Starch maximum</t>
  </si>
  <si>
    <t>Sugar maximum</t>
  </si>
  <si>
    <t>Fats maximum</t>
  </si>
  <si>
    <t>For NDF</t>
  </si>
  <si>
    <t>g/kg DM</t>
  </si>
  <si>
    <t>Ration title</t>
  </si>
  <si>
    <t>Dairy Cow ration</t>
  </si>
  <si>
    <t xml:space="preserve">Suggested Ration </t>
  </si>
  <si>
    <t>Animal details</t>
  </si>
  <si>
    <t>Dry matter Intake</t>
  </si>
  <si>
    <t>Comments on ration</t>
  </si>
  <si>
    <t>Forage intake (kg DM)</t>
  </si>
  <si>
    <t>Concs intake (kg DM)</t>
  </si>
  <si>
    <t>Forage NDF (% DMI)</t>
  </si>
  <si>
    <t>For intake</t>
  </si>
  <si>
    <t>Conc intake</t>
  </si>
  <si>
    <t>Lactation week</t>
  </si>
  <si>
    <t>Limits</t>
  </si>
  <si>
    <t>DMI adjustment</t>
  </si>
  <si>
    <t>ME and CP ver                    Simple ration formulator. Written by Dr Tom Chamberlain, www.chalcombe.co.uk</t>
  </si>
  <si>
    <t>Add feed27</t>
  </si>
  <si>
    <t>Add feed28</t>
  </si>
  <si>
    <t>Add feed29</t>
  </si>
  <si>
    <t>It is written to use alongside my book 'Feeding the Dairy Cow', www.chalcombe.co.uk</t>
  </si>
  <si>
    <t>useful in its original format. Copies can be downloaded from www.chalcombe.co.uk</t>
  </si>
  <si>
    <t>To limit damage I have locked the spreadsheet - only the 'yellow' cells will accept data entries.</t>
  </si>
  <si>
    <t xml:space="preserve">automates the procedure and uses slightly better equations. </t>
  </si>
  <si>
    <t>On the Main sheet first enter the basic animal details such as weight, milk yield, milk composition.</t>
  </si>
  <si>
    <t>Below this enter the feeds used in the ration. Click on the feed name or 'Select feed' cell then choose the</t>
  </si>
  <si>
    <t xml:space="preserve">required feed from the drop-down list. </t>
  </si>
  <si>
    <t>previous rations are set to zero. Check the total at the bottom to make sure it looks logical.</t>
  </si>
  <si>
    <t>As you enter animal details and feeds the ration will be-recalculated. All problems will be highlighted by coloured cells</t>
  </si>
  <si>
    <t xml:space="preserve">At the top of the page the animals requirements for DMI, ME, CP and the major minerals are calculated and compared to </t>
  </si>
  <si>
    <t>what the ration supplies. The balance is expressed as a percentage with 100% being perfectly balanced.</t>
  </si>
  <si>
    <t>Author A T Chamberlain, www.chalcombe.co.uk</t>
  </si>
  <si>
    <t xml:space="preserve">To add and alter feeds go to the 'Feed database' sheet. </t>
  </si>
  <si>
    <t xml:space="preserve">You can add up to 29 new feeds by completing the yellow cells at the base of the table of feeds. </t>
  </si>
  <si>
    <t>Ration ready reckoner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</si>
</sst>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);\(#,##0.00\)"/>
    <numFmt numFmtId="173" formatCode="#,##0_);\(#,##0\)"/>
    <numFmt numFmtId="174" formatCode="\$#,##0.00_);\(\$#,##0.00\)"/>
    <numFmt numFmtId="175" formatCode="\$#,##0_);\(\$#,##0\)"/>
    <numFmt numFmtId="176" formatCode="0.0"/>
    <numFmt numFmtId="177" formatCode="0.000"/>
    <numFmt numFmtId="178" formatCode="[$-809]dd\ mmmm\ yyyy"/>
    <numFmt numFmtId="179" formatCode="[$-F800]dddd\,\ mmmm\ dd\,\ yyyy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4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6" fontId="1" fillId="0" borderId="10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2" fontId="0" fillId="33" borderId="13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2" borderId="13" xfId="0" applyFont="1" applyFill="1" applyBorder="1" applyAlignment="1" applyProtection="1">
      <alignment vertical="top" wrapText="1"/>
      <protection locked="0"/>
    </xf>
    <xf numFmtId="0" fontId="0" fillId="32" borderId="14" xfId="0" applyFill="1" applyBorder="1" applyAlignment="1" applyProtection="1">
      <alignment vertical="top" wrapText="1"/>
      <protection locked="0"/>
    </xf>
    <xf numFmtId="0" fontId="0" fillId="32" borderId="15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179" fontId="2" fillId="0" borderId="0" xfId="0" applyNumberFormat="1" applyFont="1" applyBorder="1" applyAlignment="1">
      <alignment horizontal="right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68"/>
  <sheetViews>
    <sheetView showGridLines="0" showRowColHeaders="0" showOutlineSymbols="0" zoomScaleSheetLayoutView="100" workbookViewId="0" topLeftCell="A1">
      <selection activeCell="BH18" sqref="BH18"/>
    </sheetView>
  </sheetViews>
  <sheetFormatPr defaultColWidth="9.140625" defaultRowHeight="12.75" customHeight="1"/>
  <cols>
    <col min="1" max="1" width="2.8515625" style="0" customWidth="1"/>
    <col min="2" max="2" width="17.28125" style="0" customWidth="1"/>
    <col min="3" max="3" width="9.7109375" style="0" customWidth="1"/>
    <col min="4" max="4" width="15.57421875" style="0" customWidth="1"/>
    <col min="5" max="5" width="6.421875" style="0" customWidth="1"/>
    <col min="6" max="6" width="9.421875" style="0" customWidth="1"/>
    <col min="7" max="7" width="9.8515625" style="0" customWidth="1"/>
    <col min="8" max="8" width="8.8515625" style="0" customWidth="1"/>
    <col min="9" max="9" width="3.7109375" style="0" customWidth="1"/>
    <col min="10" max="27" width="0" style="0" hidden="1" customWidth="1"/>
    <col min="28" max="28" width="18.421875" style="0" hidden="1" customWidth="1"/>
    <col min="29" max="30" width="0" style="0" hidden="1" customWidth="1"/>
    <col min="31" max="31" width="19.7109375" style="0" hidden="1" customWidth="1"/>
    <col min="32" max="32" width="0" style="0" hidden="1" customWidth="1"/>
    <col min="33" max="43" width="5.57421875" style="0" hidden="1" customWidth="1"/>
    <col min="44" max="44" width="0" style="0" hidden="1" customWidth="1"/>
    <col min="45" max="55" width="5.7109375" style="0" hidden="1" customWidth="1"/>
    <col min="56" max="59" width="0" style="0" hidden="1" customWidth="1"/>
  </cols>
  <sheetData>
    <row r="1" spans="7:8" ht="12.75" customHeight="1">
      <c r="G1" s="43">
        <f ca="1">NOW()</f>
        <v>40742.69973252315</v>
      </c>
      <c r="H1" s="43"/>
    </row>
    <row r="2" spans="7:8" ht="12.75" customHeight="1">
      <c r="G2" s="20"/>
      <c r="H2" s="20"/>
    </row>
    <row r="3" spans="2:8" ht="12.75" customHeight="1">
      <c r="B3" s="6" t="s">
        <v>135</v>
      </c>
      <c r="C3" s="44" t="s">
        <v>136</v>
      </c>
      <c r="D3" s="45"/>
      <c r="E3" s="45"/>
      <c r="F3" s="45"/>
      <c r="G3" s="45"/>
      <c r="H3" s="45"/>
    </row>
    <row r="4" s="4" customFormat="1" ht="12.75" customHeight="1"/>
    <row r="5" spans="2:28" ht="12.75" customHeight="1">
      <c r="B5" s="16" t="s">
        <v>138</v>
      </c>
      <c r="C5" s="3" t="s">
        <v>8</v>
      </c>
      <c r="D5" s="5" t="s">
        <v>8</v>
      </c>
      <c r="E5" s="3" t="s">
        <v>0</v>
      </c>
      <c r="F5" s="3" t="s">
        <v>1</v>
      </c>
      <c r="G5" s="3" t="s">
        <v>2</v>
      </c>
      <c r="H5" s="3" t="s">
        <v>134</v>
      </c>
      <c r="J5" t="s">
        <v>3</v>
      </c>
      <c r="N5" t="s">
        <v>4</v>
      </c>
      <c r="AB5" s="18" t="s">
        <v>91</v>
      </c>
    </row>
    <row r="6" spans="2:28" ht="12.75" customHeight="1">
      <c r="B6" t="s">
        <v>5</v>
      </c>
      <c r="C6" s="24">
        <v>650</v>
      </c>
      <c r="D6" s="11" t="s">
        <v>139</v>
      </c>
      <c r="E6" s="9">
        <f>(C6*0.025+C7*0.1)*C9-Q15</f>
        <v>19.57337311104465</v>
      </c>
      <c r="F6" s="9">
        <f>AS32</f>
        <v>19.699</v>
      </c>
      <c r="G6" s="21">
        <f aca="true" t="shared" si="0" ref="G6:G12">100*F6/E6</f>
        <v>100.64182544440673</v>
      </c>
      <c r="H6" s="22"/>
      <c r="I6" s="1"/>
      <c r="J6" t="s">
        <v>7</v>
      </c>
      <c r="K6">
        <f>(0.35*K10)+0.503</f>
        <v>0.7207113414884757</v>
      </c>
      <c r="M6" t="s">
        <v>8</v>
      </c>
      <c r="N6" t="s">
        <v>8</v>
      </c>
      <c r="P6" t="s">
        <v>9</v>
      </c>
      <c r="Q6" t="s">
        <v>10</v>
      </c>
      <c r="R6" t="s">
        <v>11</v>
      </c>
      <c r="AB6" t="str">
        <f>'Feed database'!A4</f>
        <v>Hay D50-55</v>
      </c>
    </row>
    <row r="7" spans="2:28" ht="12.75" customHeight="1">
      <c r="B7" t="s">
        <v>12</v>
      </c>
      <c r="C7" s="24">
        <v>35</v>
      </c>
      <c r="D7" s="10" t="s">
        <v>13</v>
      </c>
      <c r="E7" s="21">
        <f>N15</f>
        <v>230.49384677514203</v>
      </c>
      <c r="F7" s="21">
        <f>AT32</f>
        <v>230.045</v>
      </c>
      <c r="G7" s="21">
        <f t="shared" si="0"/>
        <v>99.80526735033413</v>
      </c>
      <c r="H7" s="22"/>
      <c r="I7" s="1"/>
      <c r="J7" t="s">
        <v>14</v>
      </c>
      <c r="K7">
        <f>(0.55*K10)+0.42</f>
        <v>0.7621178223390332</v>
      </c>
      <c r="AB7" t="str">
        <f>'Feed database'!A5</f>
        <v>Hay D60-65</v>
      </c>
    </row>
    <row r="8" spans="2:28" ht="12.75" customHeight="1">
      <c r="B8" s="6" t="s">
        <v>126</v>
      </c>
      <c r="C8" s="25">
        <v>-0.25</v>
      </c>
      <c r="D8" s="10" t="s">
        <v>16</v>
      </c>
      <c r="E8" s="21">
        <f>100+C7*2</f>
        <v>170</v>
      </c>
      <c r="F8" s="21">
        <f>AU32/(1*AS32)</f>
        <v>175.40687344535255</v>
      </c>
      <c r="G8" s="21">
        <f t="shared" si="0"/>
        <v>103.18051379138385</v>
      </c>
      <c r="H8" s="22"/>
      <c r="I8" s="1"/>
      <c r="J8" t="s">
        <v>17</v>
      </c>
      <c r="K8">
        <v>1.05</v>
      </c>
      <c r="M8" t="s">
        <v>13</v>
      </c>
      <c r="N8">
        <f>K8*(0.53*(C6/1.08)^0.67+(0.0091*C6))/K6</f>
        <v>64.8467200558136</v>
      </c>
      <c r="O8" t="s">
        <v>18</v>
      </c>
      <c r="P8">
        <f>(-0.74+(0.0079*C6)+(0.66*E6))*(1/0.68)*K8</f>
        <v>26.733967008755798</v>
      </c>
      <c r="Q8">
        <f>17.6*C6*0.001*K8</f>
        <v>12.012000000000002</v>
      </c>
      <c r="R8">
        <f>-0.06+(0.693*E6)</f>
        <v>13.50434756595394</v>
      </c>
      <c r="AB8" t="str">
        <f>'Feed database'!A6</f>
        <v>Barley Straw</v>
      </c>
    </row>
    <row r="9" spans="2:28" ht="12.75" customHeight="1">
      <c r="B9" s="6" t="s">
        <v>127</v>
      </c>
      <c r="C9" s="25">
        <v>1</v>
      </c>
      <c r="D9" s="10" t="s">
        <v>9</v>
      </c>
      <c r="E9" s="21">
        <f>P12</f>
        <v>87.45646079904357</v>
      </c>
      <c r="F9" s="21">
        <f>AV32</f>
        <v>110.057</v>
      </c>
      <c r="G9" s="21">
        <f t="shared" si="0"/>
        <v>125.84204642454911</v>
      </c>
      <c r="H9" s="9">
        <f>F9/F$6</f>
        <v>5.586933346870399</v>
      </c>
      <c r="I9" s="1"/>
      <c r="N9">
        <f>K8*C7*((0.384*C12)+(0.223*C13)+(0.199*4.64)-0.108)/K7</f>
        <v>147.79510030916524</v>
      </c>
      <c r="O9" t="s">
        <v>19</v>
      </c>
      <c r="P9">
        <f>C7*1.13*(1/0.68)*K8</f>
        <v>61.069852941176464</v>
      </c>
      <c r="Q9">
        <f>C7*0.74*K8</f>
        <v>27.195</v>
      </c>
      <c r="R9">
        <f>C7*0.9*(1/0.7)*K8</f>
        <v>47.25</v>
      </c>
      <c r="AB9" t="str">
        <f>'Feed database'!A7</f>
        <v>Wh Straw</v>
      </c>
    </row>
    <row r="10" spans="2:28" ht="12.75" customHeight="1">
      <c r="B10" s="6" t="s">
        <v>146</v>
      </c>
      <c r="C10" s="24">
        <v>10</v>
      </c>
      <c r="D10" s="10" t="s">
        <v>10</v>
      </c>
      <c r="E10" s="21">
        <f>Q12</f>
        <v>39.78192000000001</v>
      </c>
      <c r="F10" s="21">
        <f>AW32</f>
        <v>51.07300000000001</v>
      </c>
      <c r="G10" s="21">
        <f t="shared" si="0"/>
        <v>128.38244106870658</v>
      </c>
      <c r="H10" s="9">
        <f>F10/F$6</f>
        <v>2.5926696786638916</v>
      </c>
      <c r="I10" s="1"/>
      <c r="J10" t="s">
        <v>20</v>
      </c>
      <c r="K10">
        <f>AT32/BC32</f>
        <v>0.6220324042527877</v>
      </c>
      <c r="N10">
        <f>0.344*2^((C11/5)-1)</f>
        <v>11.008</v>
      </c>
      <c r="O10" t="s">
        <v>21</v>
      </c>
      <c r="P10">
        <f>0.1086*2^((C11/5)-1)</f>
        <v>3.4752</v>
      </c>
      <c r="Q10">
        <f>0.03906*2^((C11/5)-1)</f>
        <v>1.24992</v>
      </c>
      <c r="R10">
        <f>0.075*2^((C11/5)-1)</f>
        <v>2.4</v>
      </c>
      <c r="AB10" t="str">
        <f>'Feed database'!A8</f>
        <v>Grass D 60-65</v>
      </c>
    </row>
    <row r="11" spans="2:28" ht="12.75" customHeight="1">
      <c r="B11" s="6" t="s">
        <v>125</v>
      </c>
      <c r="C11" s="24">
        <v>30</v>
      </c>
      <c r="D11" s="10" t="s">
        <v>11</v>
      </c>
      <c r="E11" s="21">
        <f>R12</f>
        <v>62.603447706664454</v>
      </c>
      <c r="F11" s="21">
        <f>AX32</f>
        <v>83.449</v>
      </c>
      <c r="G11" s="21"/>
      <c r="H11" s="9">
        <f>F11/F$6</f>
        <v>4.236204883496624</v>
      </c>
      <c r="I11" s="1"/>
      <c r="N11">
        <f>IF(C8&gt;0,20.9*C8*(0.84/K7)/1.05,17.3*C8/(K7*0.95)*1.05)</f>
        <v>-6.272341385776182</v>
      </c>
      <c r="O11" t="s">
        <v>22</v>
      </c>
      <c r="P11">
        <f>9.83*((0.7*960)^0.22)*(C6^-0.22)*C8*(1/0.68)*K8</f>
        <v>-3.8225591508886887</v>
      </c>
      <c r="Q11">
        <f>C8*2.7</f>
        <v>-0.675</v>
      </c>
      <c r="R11">
        <f>1.2+(4.635*((0.7*960)^0.22)*(C6^-0.22))*(1/0.7)*C8*K8</f>
        <v>-0.5508998592894885</v>
      </c>
      <c r="AB11" t="str">
        <f>'Feed database'!A9</f>
        <v>Grass D 65-70</v>
      </c>
    </row>
    <row r="12" spans="2:28" ht="12.75" customHeight="1">
      <c r="B12" s="6" t="s">
        <v>124</v>
      </c>
      <c r="C12" s="25">
        <v>4</v>
      </c>
      <c r="D12" s="11" t="s">
        <v>129</v>
      </c>
      <c r="E12" s="9">
        <f>45-(C7/3.3333)</f>
        <v>34.49989499894999</v>
      </c>
      <c r="F12" s="9">
        <f>AY32/(10*AS32)</f>
        <v>37.85476420122849</v>
      </c>
      <c r="G12" s="21">
        <f t="shared" si="0"/>
        <v>109.72428815328455</v>
      </c>
      <c r="H12" s="7"/>
      <c r="N12">
        <f>N8+N9+N10+N11</f>
        <v>217.3774789792027</v>
      </c>
      <c r="O12" t="s">
        <v>23</v>
      </c>
      <c r="P12">
        <f>P8+P9+P10+P11</f>
        <v>87.45646079904357</v>
      </c>
      <c r="Q12">
        <f>Q8+Q9+Q10+Q11</f>
        <v>39.78192000000001</v>
      </c>
      <c r="R12">
        <f>R8+R9+R10+R11</f>
        <v>62.603447706664454</v>
      </c>
      <c r="AB12" t="str">
        <f>'Feed database'!A10</f>
        <v>Grass D 70-75</v>
      </c>
    </row>
    <row r="13" spans="2:28" ht="12.75" customHeight="1">
      <c r="B13" s="6" t="s">
        <v>123</v>
      </c>
      <c r="C13" s="26">
        <v>3.2</v>
      </c>
      <c r="E13" s="23" t="s">
        <v>147</v>
      </c>
      <c r="F13" s="7"/>
      <c r="G13" s="7"/>
      <c r="H13" s="7"/>
      <c r="N13">
        <f>N12/N8</f>
        <v>3.3521738461421915</v>
      </c>
      <c r="O13" t="s">
        <v>24</v>
      </c>
      <c r="AB13" t="str">
        <f>'Feed database'!A11</f>
        <v>Gr Silage Average</v>
      </c>
    </row>
    <row r="14" spans="4:28" ht="12.75" customHeight="1">
      <c r="D14" s="11" t="s">
        <v>130</v>
      </c>
      <c r="E14" s="9">
        <f>12+((C7-20)/5*3)</f>
        <v>21</v>
      </c>
      <c r="F14" s="9">
        <f>0.1*'Main sheet'!BB32/'Main sheet'!AS32</f>
        <v>16.05959693385451</v>
      </c>
      <c r="G14" s="21">
        <f>100*F14/E14</f>
        <v>76.4742711135929</v>
      </c>
      <c r="H14" s="7"/>
      <c r="N14">
        <f>1+(0.018*N13)</f>
        <v>1.0603391292305595</v>
      </c>
      <c r="O14" t="s">
        <v>25</v>
      </c>
      <c r="AB14" t="str">
        <f>'Feed database'!A12</f>
        <v>Gr Silage Good</v>
      </c>
    </row>
    <row r="15" spans="4:28" ht="12.75" customHeight="1">
      <c r="D15" s="11" t="s">
        <v>131</v>
      </c>
      <c r="E15" s="9">
        <f>3.4+((C7-20)/5*0.867)</f>
        <v>6.0009999999999994</v>
      </c>
      <c r="F15" s="9">
        <f>0.1*BA32/AS32</f>
        <v>5.425503832681862</v>
      </c>
      <c r="G15" s="21">
        <f>100*F15/E15</f>
        <v>90.40999554544014</v>
      </c>
      <c r="H15" s="7"/>
      <c r="N15">
        <f>N12*N14</f>
        <v>230.49384677514203</v>
      </c>
      <c r="O15" t="s">
        <v>23</v>
      </c>
      <c r="P15" s="6" t="s">
        <v>148</v>
      </c>
      <c r="Q15">
        <f>6.894*0.6932^C10</f>
        <v>0.17662688895535228</v>
      </c>
      <c r="R15" t="s">
        <v>15</v>
      </c>
      <c r="AB15" t="str">
        <f>'Feed database'!A13</f>
        <v>Gr Silage V Good</v>
      </c>
    </row>
    <row r="16" spans="4:28" ht="12.75" customHeight="1">
      <c r="D16" s="11" t="s">
        <v>132</v>
      </c>
      <c r="E16" s="9">
        <f>3.6+((C7-20)/5*0.4)</f>
        <v>4.800000000000001</v>
      </c>
      <c r="F16" s="9">
        <f>0.1*AZ32/AS32</f>
        <v>2.978273008782171</v>
      </c>
      <c r="G16" s="21">
        <f>100*F16/E16</f>
        <v>62.047354349628556</v>
      </c>
      <c r="H16" s="7"/>
      <c r="AB16" t="str">
        <f>'Feed database'!A14</f>
        <v>Maize Silage</v>
      </c>
    </row>
    <row r="17" spans="4:28" ht="12.75" customHeight="1">
      <c r="D17" s="12"/>
      <c r="E17" s="13"/>
      <c r="F17" s="13"/>
      <c r="G17" s="14"/>
      <c r="AB17" t="str">
        <f>'Feed database'!A15</f>
        <v>Barley Grain</v>
      </c>
    </row>
    <row r="18" spans="2:45" ht="12.75" customHeight="1">
      <c r="B18" s="16" t="s">
        <v>137</v>
      </c>
      <c r="AB18" t="str">
        <f>'Feed database'!A16</f>
        <v>Citrus Pulp</v>
      </c>
      <c r="AG18" s="6" t="s">
        <v>122</v>
      </c>
      <c r="AS18" s="6" t="s">
        <v>27</v>
      </c>
    </row>
    <row r="19" spans="28:44" ht="12.75" customHeight="1">
      <c r="AB19" t="str">
        <f>'Feed database'!A17</f>
        <v>Fodder Beet</v>
      </c>
      <c r="AG19">
        <v>2</v>
      </c>
      <c r="AH19">
        <v>3</v>
      </c>
      <c r="AI19">
        <v>4</v>
      </c>
      <c r="AJ19">
        <v>5</v>
      </c>
      <c r="AK19">
        <v>6</v>
      </c>
      <c r="AL19">
        <v>7</v>
      </c>
      <c r="AM19">
        <v>8</v>
      </c>
      <c r="AN19">
        <v>9</v>
      </c>
      <c r="AO19">
        <v>10</v>
      </c>
      <c r="AP19">
        <v>11</v>
      </c>
      <c r="AQ19">
        <v>12</v>
      </c>
      <c r="AR19">
        <v>13</v>
      </c>
    </row>
    <row r="20" spans="2:63" ht="12.75" customHeight="1">
      <c r="B20" s="3" t="s">
        <v>90</v>
      </c>
      <c r="C20" s="15" t="s">
        <v>92</v>
      </c>
      <c r="D20" s="15" t="s">
        <v>94</v>
      </c>
      <c r="AB20" t="str">
        <f>'Feed database'!A18</f>
        <v>Maize Gluten Fd</v>
      </c>
      <c r="AE20" s="6" t="s">
        <v>95</v>
      </c>
      <c r="AF20" s="6" t="s">
        <v>92</v>
      </c>
      <c r="AG20" s="6" t="str">
        <f>'Feed database'!B2</f>
        <v>DM</v>
      </c>
      <c r="AH20" s="6" t="str">
        <f>'Feed database'!C2</f>
        <v>ME</v>
      </c>
      <c r="AI20" s="6" t="str">
        <f>'Feed database'!D2</f>
        <v>CP</v>
      </c>
      <c r="AJ20" s="6" t="str">
        <f>'Feed database'!E2</f>
        <v>Ca</v>
      </c>
      <c r="AK20" s="6" t="str">
        <f>'Feed database'!F2</f>
        <v>Mg</v>
      </c>
      <c r="AL20" s="6" t="str">
        <f>'Feed database'!G2</f>
        <v>P</v>
      </c>
      <c r="AM20" s="6" t="str">
        <f>'Feed database'!H2</f>
        <v>NDF</v>
      </c>
      <c r="AN20" s="6" t="str">
        <f>'Feed database'!I2</f>
        <v>Fat</v>
      </c>
      <c r="AO20" s="6" t="str">
        <f>'Feed database'!J2</f>
        <v>Sug</v>
      </c>
      <c r="AP20" s="6" t="str">
        <f>'Feed database'!K2</f>
        <v>Sta</v>
      </c>
      <c r="AQ20" s="6" t="str">
        <f>'Feed database'!L2</f>
        <v>GE</v>
      </c>
      <c r="AR20" s="6" t="str">
        <f>'Feed database'!M2</f>
        <v>Forage</v>
      </c>
      <c r="AS20" s="6" t="s">
        <v>6</v>
      </c>
      <c r="AT20" s="6" t="str">
        <f aca="true" t="shared" si="1" ref="AT20:BC20">AH20</f>
        <v>ME</v>
      </c>
      <c r="AU20" s="6" t="str">
        <f t="shared" si="1"/>
        <v>CP</v>
      </c>
      <c r="AV20" s="6" t="str">
        <f t="shared" si="1"/>
        <v>Ca</v>
      </c>
      <c r="AW20" s="6" t="str">
        <f t="shared" si="1"/>
        <v>Mg</v>
      </c>
      <c r="AX20" s="6" t="str">
        <f t="shared" si="1"/>
        <v>P</v>
      </c>
      <c r="AY20" s="6" t="str">
        <f t="shared" si="1"/>
        <v>NDF</v>
      </c>
      <c r="AZ20" s="6" t="str">
        <f t="shared" si="1"/>
        <v>Fat</v>
      </c>
      <c r="BA20" s="6" t="str">
        <f t="shared" si="1"/>
        <v>Sug</v>
      </c>
      <c r="BB20" s="6" t="str">
        <f t="shared" si="1"/>
        <v>Sta</v>
      </c>
      <c r="BC20" s="6" t="str">
        <f t="shared" si="1"/>
        <v>GE</v>
      </c>
      <c r="BD20" s="6" t="s">
        <v>133</v>
      </c>
      <c r="BE20" s="6" t="s">
        <v>144</v>
      </c>
      <c r="BF20" s="6" t="s">
        <v>145</v>
      </c>
      <c r="BG20" s="6"/>
      <c r="BH20" s="6"/>
      <c r="BI20" s="6"/>
      <c r="BJ20" s="6"/>
      <c r="BK20" s="6"/>
    </row>
    <row r="21" spans="2:58" ht="12.75" customHeight="1">
      <c r="B21" s="27" t="s">
        <v>44</v>
      </c>
      <c r="C21" s="28">
        <v>22</v>
      </c>
      <c r="D21" s="8">
        <f>IF(AS21&lt;&gt;0,AS21,"")</f>
        <v>5.94</v>
      </c>
      <c r="F21" s="46" t="s">
        <v>141</v>
      </c>
      <c r="G21" s="46"/>
      <c r="H21" s="9">
        <f>BE32</f>
        <v>12.54</v>
      </c>
      <c r="AB21" t="str">
        <f>'Feed database'!A19</f>
        <v>Molasses Cane</v>
      </c>
      <c r="AE21" t="str">
        <f>IF($B21&lt;&gt;$AB$5,B21,"---")</f>
        <v>Gr Silage Average</v>
      </c>
      <c r="AF21">
        <f>IF($B21&lt;&gt;$AB$5,C21,"---")</f>
        <v>22</v>
      </c>
      <c r="AG21" s="6">
        <f>IF($AE21&lt;&gt;"---",VLOOKUP($AE21,'Feed database'!$A$4:$M$63,AG$19,FALSE),0)</f>
        <v>27</v>
      </c>
      <c r="AH21" s="6">
        <f>IF($AE21&lt;&gt;"---",VLOOKUP($AE21,'Feed database'!$A$4:$M$63,AH$19,FALSE),0)</f>
        <v>10.4</v>
      </c>
      <c r="AI21" s="6">
        <f>IF($AE21&lt;&gt;"---",VLOOKUP($AE21,'Feed database'!$A$4:$M$63,AI$19,FALSE),0)</f>
        <v>151</v>
      </c>
      <c r="AJ21" s="6">
        <f>IF($AE21&lt;&gt;"---",VLOOKUP($AE21,'Feed database'!$A$4:$M$63,AJ$19,FALSE),0)</f>
        <v>6.8</v>
      </c>
      <c r="AK21" s="6">
        <f>IF($AE21&lt;&gt;"---",VLOOKUP($AE21,'Feed database'!$A$4:$M$63,AK$19,FALSE),0)</f>
        <v>1.6</v>
      </c>
      <c r="AL21" s="6">
        <f>IF($AE21&lt;&gt;"---",VLOOKUP($AE21,'Feed database'!$A$4:$M$63,AL$19,FALSE),0)</f>
        <v>3.1</v>
      </c>
      <c r="AM21" s="6">
        <f>IF($AE21&lt;&gt;"---",VLOOKUP($AE21,'Feed database'!$A$4:$M$63,AM$19,FALSE),0)</f>
        <v>546</v>
      </c>
      <c r="AN21" s="6">
        <f>IF($AE21&lt;&gt;"---",VLOOKUP($AE21,'Feed database'!$A$4:$M$63,AN$19,FALSE),0)</f>
        <v>35</v>
      </c>
      <c r="AO21" s="6">
        <f>IF($AE21&lt;&gt;"---",VLOOKUP($AE21,'Feed database'!$A$4:$M$63,AO$19,FALSE),0)</f>
        <v>17</v>
      </c>
      <c r="AP21" s="6">
        <f>IF($AE21&lt;&gt;"---",VLOOKUP($AE21,'Feed database'!$A$4:$M$63,AP$19,FALSE),0)</f>
        <v>7</v>
      </c>
      <c r="AQ21" s="6">
        <f>IF($AE21&lt;&gt;"---",VLOOKUP($AE21,'Feed database'!$A$4:$M$63,AQ$19,FALSE),0)</f>
        <v>19.5</v>
      </c>
      <c r="AR21" s="6">
        <f>IF($AE21&lt;&gt;"---",VLOOKUP($AE21,'Feed database'!$A$4:$M$63,AR$19,FALSE),0)</f>
        <v>1</v>
      </c>
      <c r="AS21">
        <f>IF($AE21&lt;&gt;"---",$AF21*AG21/100,0)</f>
        <v>5.94</v>
      </c>
      <c r="AT21">
        <f aca="true" t="shared" si="2" ref="AT21:BC21">IF($AE21&lt;&gt;"---",$AS21*AH21,0)</f>
        <v>61.776</v>
      </c>
      <c r="AU21">
        <f t="shared" si="2"/>
        <v>896.94</v>
      </c>
      <c r="AV21">
        <f t="shared" si="2"/>
        <v>40.392</v>
      </c>
      <c r="AW21">
        <f t="shared" si="2"/>
        <v>9.504000000000001</v>
      </c>
      <c r="AX21">
        <f t="shared" si="2"/>
        <v>18.414</v>
      </c>
      <c r="AY21">
        <f t="shared" si="2"/>
        <v>3243.2400000000002</v>
      </c>
      <c r="AZ21">
        <f t="shared" si="2"/>
        <v>207.9</v>
      </c>
      <c r="BA21">
        <f t="shared" si="2"/>
        <v>100.98</v>
      </c>
      <c r="BB21">
        <f t="shared" si="2"/>
        <v>41.580000000000005</v>
      </c>
      <c r="BC21">
        <f t="shared" si="2"/>
        <v>115.83000000000001</v>
      </c>
      <c r="BD21" s="1">
        <f>IF($AE21&lt;&gt;"---",$AS21*AR21*AM21,0)</f>
        <v>3243.2400000000002</v>
      </c>
      <c r="BE21">
        <f>IF($AE21&lt;&gt;"---",$AS21*AR21,0)</f>
        <v>5.94</v>
      </c>
      <c r="BF21">
        <f>IF($AE21&lt;&gt;"---",$AS21*(1-AR21),0)</f>
        <v>0</v>
      </c>
    </row>
    <row r="22" spans="2:58" ht="12.75" customHeight="1">
      <c r="B22" s="27" t="s">
        <v>47</v>
      </c>
      <c r="C22" s="28">
        <v>22</v>
      </c>
      <c r="D22" s="8">
        <f aca="true" t="shared" si="3" ref="D22:D31">IF(AS22&lt;&gt;0,AS22,"")</f>
        <v>6.6</v>
      </c>
      <c r="F22" s="46" t="s">
        <v>142</v>
      </c>
      <c r="G22" s="46"/>
      <c r="H22" s="9">
        <f>BF32</f>
        <v>7.159</v>
      </c>
      <c r="M22" s="2"/>
      <c r="AB22" t="str">
        <f>'Feed database'!A20</f>
        <v>SBP Dry Molass</v>
      </c>
      <c r="AE22" t="str">
        <f aca="true" t="shared" si="4" ref="AE22:AE31">IF($B22&lt;&gt;$AB$5,B22,"---")</f>
        <v>Maize Silage</v>
      </c>
      <c r="AF22">
        <f aca="true" t="shared" si="5" ref="AF22:AF31">IF($B22&lt;&gt;$AB$5,C22,"---")</f>
        <v>22</v>
      </c>
      <c r="AG22" s="6">
        <f>IF($AE22&lt;&gt;"---",VLOOKUP($AE22,'Feed database'!$A$4:$L$63,AG$19,FALSE),0)</f>
        <v>30</v>
      </c>
      <c r="AH22" s="6">
        <f>IF($AE22&lt;&gt;"---",VLOOKUP($AE22,'Feed database'!$A$4:$M$63,AH$19,FALSE),0)</f>
        <v>11.8</v>
      </c>
      <c r="AI22" s="6">
        <f>IF($AE22&lt;&gt;"---",VLOOKUP($AE22,'Feed database'!$A$4:$M$63,AI$19,FALSE),0)</f>
        <v>76</v>
      </c>
      <c r="AJ22" s="6">
        <f>IF($AE22&lt;&gt;"---",VLOOKUP($AE22,'Feed database'!$A$4:$M$63,AJ$19,FALSE),0)</f>
        <v>3.9</v>
      </c>
      <c r="AK22" s="6">
        <f>IF($AE22&lt;&gt;"---",VLOOKUP($AE22,'Feed database'!$A$4:$M$63,AK$19,FALSE),0)</f>
        <v>2.4</v>
      </c>
      <c r="AL22" s="6">
        <f>IF($AE22&lt;&gt;"---",VLOOKUP($AE22,'Feed database'!$A$4:$M$63,AL$19,FALSE),0)</f>
        <v>1.8</v>
      </c>
      <c r="AM22" s="6">
        <f>IF($AE22&lt;&gt;"---",VLOOKUP($AE22,'Feed database'!$A$4:$M$63,AM$19,FALSE),0)</f>
        <v>390</v>
      </c>
      <c r="AN22" s="6">
        <f>IF($AE22&lt;&gt;"---",VLOOKUP($AE22,'Feed database'!$A$4:$M$63,AN$19,FALSE),0)</f>
        <v>30</v>
      </c>
      <c r="AO22" s="6">
        <f>IF($AE22&lt;&gt;"---",VLOOKUP($AE22,'Feed database'!$A$4:$M$63,AO$19,FALSE),0)</f>
        <v>15</v>
      </c>
      <c r="AP22" s="6">
        <f>IF($AE22&lt;&gt;"---",VLOOKUP($AE22,'Feed database'!$A$4:$M$63,AP$19,FALSE),0)</f>
        <v>280</v>
      </c>
      <c r="AQ22" s="6">
        <f>IF($AE22&lt;&gt;"---",VLOOKUP($AE22,'Feed database'!$A$4:$M$63,AQ$19,FALSE),0)</f>
        <v>18.5</v>
      </c>
      <c r="AR22" s="6">
        <f>IF($AE22&lt;&gt;"---",VLOOKUP($AE22,'Feed database'!$A$4:$M$63,AR$19,FALSE),0)</f>
        <v>1</v>
      </c>
      <c r="AS22">
        <f aca="true" t="shared" si="6" ref="AS22:AS31">IF($AE22&lt;&gt;"---",$AF22*AG22/100,0)</f>
        <v>6.6</v>
      </c>
      <c r="AT22">
        <f aca="true" t="shared" si="7" ref="AT22:AT31">IF($AE22&lt;&gt;"---",$AS22*AH22,0)</f>
        <v>77.88</v>
      </c>
      <c r="AU22">
        <f aca="true" t="shared" si="8" ref="AU22:AU31">IF($AE22&lt;&gt;"---",$AS22*AI22,0)</f>
        <v>501.59999999999997</v>
      </c>
      <c r="AV22">
        <f aca="true" t="shared" si="9" ref="AV22:AV31">IF($AE22&lt;&gt;"---",$AS22*AJ22,0)</f>
        <v>25.74</v>
      </c>
      <c r="AW22">
        <f aca="true" t="shared" si="10" ref="AW22:AW31">IF($AE22&lt;&gt;"---",$AS22*AK22,0)</f>
        <v>15.839999999999998</v>
      </c>
      <c r="AX22">
        <f aca="true" t="shared" si="11" ref="AX22:AX31">IF($AE22&lt;&gt;"---",$AS22*AL22,0)</f>
        <v>11.879999999999999</v>
      </c>
      <c r="AY22">
        <f aca="true" t="shared" si="12" ref="AY22:AY31">IF($AE22&lt;&gt;"---",$AS22*AM22,0)</f>
        <v>2574</v>
      </c>
      <c r="AZ22">
        <f aca="true" t="shared" si="13" ref="AZ22:AZ31">IF($AE22&lt;&gt;"---",$AS22*AN22,0)</f>
        <v>198</v>
      </c>
      <c r="BA22">
        <f aca="true" t="shared" si="14" ref="BA22:BA31">IF($AE22&lt;&gt;"---",$AS22*AO22,0)</f>
        <v>99</v>
      </c>
      <c r="BB22">
        <f aca="true" t="shared" si="15" ref="BB22:BB31">IF($AE22&lt;&gt;"---",$AS22*AP22,0)</f>
        <v>1848</v>
      </c>
      <c r="BC22">
        <f aca="true" t="shared" si="16" ref="BC22:BC31">IF($AE22&lt;&gt;"---",$AS22*AQ22,0)</f>
        <v>122.1</v>
      </c>
      <c r="BD22" s="1">
        <f aca="true" t="shared" si="17" ref="BD22:BD31">IF($AE22&lt;&gt;"---",$AS22*AR22*AM22,0)</f>
        <v>2574</v>
      </c>
      <c r="BE22">
        <f aca="true" t="shared" si="18" ref="BE22:BE31">IF($AE22&lt;&gt;"---",$AS22*AR22,0)</f>
        <v>6.6</v>
      </c>
      <c r="BF22">
        <f aca="true" t="shared" si="19" ref="BF22:BF31">IF($AE22&lt;&gt;"---",$AS22*(1-AR22),0)</f>
        <v>0</v>
      </c>
    </row>
    <row r="23" spans="2:58" ht="12.75" customHeight="1">
      <c r="B23" s="27" t="s">
        <v>54</v>
      </c>
      <c r="C23" s="28">
        <v>2</v>
      </c>
      <c r="D23" s="8">
        <f t="shared" si="3"/>
        <v>1.74</v>
      </c>
      <c r="F23" s="47" t="s">
        <v>143</v>
      </c>
      <c r="G23" s="47"/>
      <c r="H23" s="9">
        <f>(BD32/(10*AS32))</f>
        <v>29.5306360728971</v>
      </c>
      <c r="M23" s="2"/>
      <c r="AB23" t="str">
        <f>'Feed database'!A21</f>
        <v>Wheat Grain</v>
      </c>
      <c r="AE23" t="str">
        <f t="shared" si="4"/>
        <v>Wheat Grain</v>
      </c>
      <c r="AF23">
        <f t="shared" si="5"/>
        <v>2</v>
      </c>
      <c r="AG23" s="6">
        <f>IF($AE23&lt;&gt;"---",VLOOKUP($AE23,'Feed database'!$A$4:$L$63,AG$19,FALSE),0)</f>
        <v>87</v>
      </c>
      <c r="AH23" s="6">
        <f>IF($AE23&lt;&gt;"---",VLOOKUP($AE23,'Feed database'!$A$4:$M$63,AH$19,FALSE),0)</f>
        <v>13.6</v>
      </c>
      <c r="AI23" s="6">
        <f>IF($AE23&lt;&gt;"---",VLOOKUP($AE23,'Feed database'!$A$4:$M$63,AI$19,FALSE),0)</f>
        <v>123</v>
      </c>
      <c r="AJ23" s="6">
        <f>IF($AE23&lt;&gt;"---",VLOOKUP($AE23,'Feed database'!$A$4:$M$63,AJ$19,FALSE),0)</f>
        <v>0.6</v>
      </c>
      <c r="AK23" s="6">
        <f>IF($AE23&lt;&gt;"---",VLOOKUP($AE23,'Feed database'!$A$4:$M$63,AK$19,FALSE),0)</f>
        <v>1.1</v>
      </c>
      <c r="AL23" s="6">
        <f>IF($AE23&lt;&gt;"---",VLOOKUP($AE23,'Feed database'!$A$4:$M$63,AL$19,FALSE),0)</f>
        <v>3.4</v>
      </c>
      <c r="AM23" s="6">
        <f>IF($AE23&lt;&gt;"---",VLOOKUP($AE23,'Feed database'!$A$4:$M$63,AM$19,FALSE),0)</f>
        <v>66</v>
      </c>
      <c r="AN23" s="6">
        <f>IF($AE23&lt;&gt;"---",VLOOKUP($AE23,'Feed database'!$A$4:$M$63,AN$19,FALSE),0)</f>
        <v>19</v>
      </c>
      <c r="AO23" s="6">
        <f>IF($AE23&lt;&gt;"---",VLOOKUP($AE23,'Feed database'!$A$4:$M$63,AO$19,FALSE),0)</f>
        <v>58</v>
      </c>
      <c r="AP23" s="6">
        <f>IF($AE23&lt;&gt;"---",VLOOKUP($AE23,'Feed database'!$A$4:$M$63,AP$19,FALSE),0)</f>
        <v>660</v>
      </c>
      <c r="AQ23" s="6">
        <f>IF($AE23&lt;&gt;"---",VLOOKUP($AE23,'Feed database'!$A$4:$M$63,AQ$19,FALSE),0)</f>
        <v>18.4</v>
      </c>
      <c r="AR23" s="6">
        <f>IF($AE23&lt;&gt;"---",VLOOKUP($AE23,'Feed database'!$A$4:$M$63,AR$19,FALSE),0)</f>
        <v>0</v>
      </c>
      <c r="AS23">
        <f t="shared" si="6"/>
        <v>1.74</v>
      </c>
      <c r="AT23">
        <f t="shared" si="7"/>
        <v>23.663999999999998</v>
      </c>
      <c r="AU23">
        <f t="shared" si="8"/>
        <v>214.02</v>
      </c>
      <c r="AV23">
        <f t="shared" si="9"/>
        <v>1.044</v>
      </c>
      <c r="AW23">
        <f t="shared" si="10"/>
        <v>1.9140000000000001</v>
      </c>
      <c r="AX23">
        <f t="shared" si="11"/>
        <v>5.9159999999999995</v>
      </c>
      <c r="AY23">
        <f t="shared" si="12"/>
        <v>114.84</v>
      </c>
      <c r="AZ23">
        <f t="shared" si="13"/>
        <v>33.06</v>
      </c>
      <c r="BA23">
        <f t="shared" si="14"/>
        <v>100.92</v>
      </c>
      <c r="BB23">
        <f t="shared" si="15"/>
        <v>1148.4</v>
      </c>
      <c r="BC23">
        <f t="shared" si="16"/>
        <v>32.016</v>
      </c>
      <c r="BD23">
        <f t="shared" si="17"/>
        <v>0</v>
      </c>
      <c r="BE23">
        <f t="shared" si="18"/>
        <v>0</v>
      </c>
      <c r="BF23">
        <f t="shared" si="19"/>
        <v>1.74</v>
      </c>
    </row>
    <row r="24" spans="2:58" ht="12.75" customHeight="1">
      <c r="B24" s="27" t="s">
        <v>58</v>
      </c>
      <c r="C24" s="28">
        <v>2.5</v>
      </c>
      <c r="D24" s="8">
        <f t="shared" si="3"/>
        <v>2.25</v>
      </c>
      <c r="M24" s="2"/>
      <c r="AB24" t="str">
        <f>'Feed database'!A22</f>
        <v>Brewers Grains</v>
      </c>
      <c r="AE24" t="str">
        <f t="shared" si="4"/>
        <v>Rape Seed Meal</v>
      </c>
      <c r="AF24">
        <f t="shared" si="5"/>
        <v>2.5</v>
      </c>
      <c r="AG24" s="6">
        <f>IF($AE24&lt;&gt;"---",VLOOKUP($AE24,'Feed database'!$A$4:$L$63,AG$19,FALSE),0)</f>
        <v>90</v>
      </c>
      <c r="AH24" s="6">
        <f>IF($AE24&lt;&gt;"---",VLOOKUP($AE24,'Feed database'!$A$4:$M$63,AH$19,FALSE),0)</f>
        <v>12</v>
      </c>
      <c r="AI24" s="6">
        <f>IF($AE24&lt;&gt;"---",VLOOKUP($AE24,'Feed database'!$A$4:$M$63,AI$19,FALSE),0)</f>
        <v>418</v>
      </c>
      <c r="AJ24" s="6">
        <f>IF($AE24&lt;&gt;"---",VLOOKUP($AE24,'Feed database'!$A$4:$M$63,AJ$19,FALSE),0)</f>
        <v>7.8</v>
      </c>
      <c r="AK24" s="6">
        <f>IF($AE24&lt;&gt;"---",VLOOKUP($AE24,'Feed database'!$A$4:$M$63,AK$19,FALSE),0)</f>
        <v>4.5</v>
      </c>
      <c r="AL24" s="6">
        <f>IF($AE24&lt;&gt;"---",VLOOKUP($AE24,'Feed database'!$A$4:$M$63,AL$19,FALSE),0)</f>
        <v>12</v>
      </c>
      <c r="AM24" s="6">
        <f>IF($AE24&lt;&gt;"---",VLOOKUP($AE24,'Feed database'!$A$4:$M$63,AM$19,FALSE),0)</f>
        <v>279</v>
      </c>
      <c r="AN24" s="6">
        <f>IF($AE24&lt;&gt;"---",VLOOKUP($AE24,'Feed database'!$A$4:$M$63,AN$19,FALSE),0)</f>
        <v>23</v>
      </c>
      <c r="AO24" s="6">
        <f>IF($AE24&lt;&gt;"---",VLOOKUP($AE24,'Feed database'!$A$4:$M$63,AO$19,FALSE),0)</f>
        <v>103</v>
      </c>
      <c r="AP24" s="6">
        <f>IF($AE24&lt;&gt;"---",VLOOKUP($AE24,'Feed database'!$A$4:$M$63,AP$19,FALSE),0)</f>
        <v>40</v>
      </c>
      <c r="AQ24" s="6">
        <f>IF($AE24&lt;&gt;"---",VLOOKUP($AE24,'Feed database'!$A$4:$M$63,AQ$19,FALSE),0)</f>
        <v>19.5</v>
      </c>
      <c r="AR24" s="6">
        <f>IF($AE24&lt;&gt;"---",VLOOKUP($AE24,'Feed database'!$A$4:$M$63,AR$19,FALSE),0)</f>
        <v>0</v>
      </c>
      <c r="AS24">
        <f t="shared" si="6"/>
        <v>2.25</v>
      </c>
      <c r="AT24">
        <f t="shared" si="7"/>
        <v>27</v>
      </c>
      <c r="AU24">
        <f t="shared" si="8"/>
        <v>940.5</v>
      </c>
      <c r="AV24">
        <f t="shared" si="9"/>
        <v>17.55</v>
      </c>
      <c r="AW24">
        <f t="shared" si="10"/>
        <v>10.125</v>
      </c>
      <c r="AX24">
        <f t="shared" si="11"/>
        <v>27</v>
      </c>
      <c r="AY24">
        <f t="shared" si="12"/>
        <v>627.75</v>
      </c>
      <c r="AZ24">
        <f t="shared" si="13"/>
        <v>51.75</v>
      </c>
      <c r="BA24">
        <f t="shared" si="14"/>
        <v>231.75</v>
      </c>
      <c r="BB24">
        <f t="shared" si="15"/>
        <v>90</v>
      </c>
      <c r="BC24">
        <f t="shared" si="16"/>
        <v>43.875</v>
      </c>
      <c r="BD24">
        <f t="shared" si="17"/>
        <v>0</v>
      </c>
      <c r="BE24">
        <f t="shared" si="18"/>
        <v>0</v>
      </c>
      <c r="BF24">
        <f t="shared" si="19"/>
        <v>2.25</v>
      </c>
    </row>
    <row r="25" spans="2:58" ht="12.75" customHeight="1">
      <c r="B25" s="27" t="s">
        <v>60</v>
      </c>
      <c r="C25" s="28">
        <v>1.5</v>
      </c>
      <c r="D25" s="8">
        <f t="shared" si="3"/>
        <v>1.35</v>
      </c>
      <c r="G25" t="s">
        <v>8</v>
      </c>
      <c r="M25" s="2"/>
      <c r="AB25" t="str">
        <f>'Feed database'!A23</f>
        <v>Fishmeal White</v>
      </c>
      <c r="AE25" t="str">
        <f t="shared" si="4"/>
        <v>Soyabean Ml Exp</v>
      </c>
      <c r="AF25">
        <f t="shared" si="5"/>
        <v>1.5</v>
      </c>
      <c r="AG25" s="6">
        <f>IF($AE25&lt;&gt;"---",VLOOKUP($AE25,'Feed database'!$A$4:$L$63,AG$19,FALSE),0)</f>
        <v>90</v>
      </c>
      <c r="AH25" s="6">
        <f>IF($AE25&lt;&gt;"---",VLOOKUP($AE25,'Feed database'!$A$4:$M$63,AH$19,FALSE),0)</f>
        <v>13.5</v>
      </c>
      <c r="AI25" s="6">
        <f>IF($AE25&lt;&gt;"---",VLOOKUP($AE25,'Feed database'!$A$4:$M$63,AI$19,FALSE),0)</f>
        <v>504</v>
      </c>
      <c r="AJ25" s="6">
        <f>IF($AE25&lt;&gt;"---",VLOOKUP($AE25,'Feed database'!$A$4:$M$63,AJ$19,FALSE),0)</f>
        <v>2.3</v>
      </c>
      <c r="AK25" s="6">
        <f>IF($AE25&lt;&gt;"---",VLOOKUP($AE25,'Feed database'!$A$4:$M$63,AK$19,FALSE),0)</f>
        <v>3</v>
      </c>
      <c r="AL25" s="6">
        <f>IF($AE25&lt;&gt;"---",VLOOKUP($AE25,'Feed database'!$A$4:$M$63,AL$19,FALSE),0)</f>
        <v>9.7</v>
      </c>
      <c r="AM25" s="6">
        <f>IF($AE25&lt;&gt;"---",VLOOKUP($AE25,'Feed database'!$A$4:$M$63,AM$19,FALSE),0)</f>
        <v>290</v>
      </c>
      <c r="AN25" s="6">
        <f>IF($AE25&lt;&gt;"---",VLOOKUP($AE25,'Feed database'!$A$4:$M$63,AN$19,FALSE),0)</f>
        <v>66</v>
      </c>
      <c r="AO25" s="6">
        <f>IF($AE25&lt;&gt;"---",VLOOKUP($AE25,'Feed database'!$A$4:$M$63,AO$19,FALSE),0)</f>
        <v>20</v>
      </c>
      <c r="AP25" s="6">
        <f>IF($AE25&lt;&gt;"---",VLOOKUP($AE25,'Feed database'!$A$4:$M$63,AP$19,FALSE),0)</f>
        <v>20</v>
      </c>
      <c r="AQ25" s="6">
        <f>IF($AE25&lt;&gt;"---",VLOOKUP($AE25,'Feed database'!$A$4:$M$63,AQ$19,FALSE),0)</f>
        <v>19.7</v>
      </c>
      <c r="AR25" s="6">
        <f>IF($AE25&lt;&gt;"---",VLOOKUP($AE25,'Feed database'!$A$4:$M$63,AR$19,FALSE),0)</f>
        <v>0</v>
      </c>
      <c r="AS25">
        <f t="shared" si="6"/>
        <v>1.35</v>
      </c>
      <c r="AT25">
        <f t="shared" si="7"/>
        <v>18.225</v>
      </c>
      <c r="AU25">
        <f t="shared" si="8"/>
        <v>680.4000000000001</v>
      </c>
      <c r="AV25">
        <f t="shared" si="9"/>
        <v>3.105</v>
      </c>
      <c r="AW25">
        <f t="shared" si="10"/>
        <v>4.050000000000001</v>
      </c>
      <c r="AX25">
        <f t="shared" si="11"/>
        <v>13.095</v>
      </c>
      <c r="AY25">
        <f t="shared" si="12"/>
        <v>391.5</v>
      </c>
      <c r="AZ25">
        <f t="shared" si="13"/>
        <v>89.10000000000001</v>
      </c>
      <c r="BA25">
        <f t="shared" si="14"/>
        <v>27</v>
      </c>
      <c r="BB25">
        <f t="shared" si="15"/>
        <v>27</v>
      </c>
      <c r="BC25">
        <f t="shared" si="16"/>
        <v>26.595000000000002</v>
      </c>
      <c r="BD25">
        <f t="shared" si="17"/>
        <v>0</v>
      </c>
      <c r="BE25">
        <f t="shared" si="18"/>
        <v>0</v>
      </c>
      <c r="BF25">
        <f t="shared" si="19"/>
        <v>1.35</v>
      </c>
    </row>
    <row r="26" spans="2:58" ht="12.75" customHeight="1">
      <c r="B26" s="27" t="s">
        <v>53</v>
      </c>
      <c r="C26" s="42">
        <v>2</v>
      </c>
      <c r="D26" s="8">
        <f t="shared" si="3"/>
        <v>1.72</v>
      </c>
      <c r="M26" s="2"/>
      <c r="AB26" t="str">
        <f>'Feed database'!A24</f>
        <v>Palm Kernel Ext</v>
      </c>
      <c r="AE26" t="str">
        <f t="shared" si="4"/>
        <v>SBP Dry Molass</v>
      </c>
      <c r="AF26">
        <f t="shared" si="5"/>
        <v>2</v>
      </c>
      <c r="AG26" s="6">
        <f>IF($AE26&lt;&gt;"---",VLOOKUP($AE26,'Feed database'!$A$4:$L$63,AG$19,FALSE),0)</f>
        <v>86</v>
      </c>
      <c r="AH26" s="6">
        <f>IF($AE26&lt;&gt;"---",VLOOKUP($AE26,'Feed database'!$A$4:$M$63,AH$19,FALSE),0)</f>
        <v>12.5</v>
      </c>
      <c r="AI26" s="6">
        <f>IF($AE26&lt;&gt;"---",VLOOKUP($AE26,'Feed database'!$A$4:$M$63,AI$19,FALSE),0)</f>
        <v>129</v>
      </c>
      <c r="AJ26" s="6">
        <f>IF($AE26&lt;&gt;"---",VLOOKUP($AE26,'Feed database'!$A$4:$M$63,AJ$19,FALSE),0)</f>
        <v>5.9</v>
      </c>
      <c r="AK26" s="6">
        <f>IF($AE26&lt;&gt;"---",VLOOKUP($AE26,'Feed database'!$A$4:$M$63,AK$19,FALSE),0)</f>
        <v>1</v>
      </c>
      <c r="AL26" s="6">
        <f>IF($AE26&lt;&gt;"---",VLOOKUP($AE26,'Feed database'!$A$4:$M$63,AL$19,FALSE),0)</f>
        <v>0.7</v>
      </c>
      <c r="AM26" s="6">
        <f>IF($AE26&lt;&gt;"---",VLOOKUP($AE26,'Feed database'!$A$4:$M$63,AM$19,FALSE),0)</f>
        <v>294</v>
      </c>
      <c r="AN26" s="6">
        <f>IF($AE26&lt;&gt;"---",VLOOKUP($AE26,'Feed database'!$A$4:$M$63,AN$19,FALSE),0)</f>
        <v>4</v>
      </c>
      <c r="AO26" s="6">
        <f>IF($AE26&lt;&gt;"---",VLOOKUP($AE26,'Feed database'!$A$4:$M$63,AO$19,FALSE),0)</f>
        <v>296</v>
      </c>
      <c r="AP26" s="6">
        <f>IF($AE26&lt;&gt;"---",VLOOKUP($AE26,'Feed database'!$A$4:$M$63,AP$19,FALSE),0)</f>
        <v>5</v>
      </c>
      <c r="AQ26" s="6">
        <f>IF($AE26&lt;&gt;"---",VLOOKUP($AE26,'Feed database'!$A$4:$M$63,AQ$19,FALSE),0)</f>
        <v>17.1</v>
      </c>
      <c r="AR26" s="6">
        <f>IF($AE26&lt;&gt;"---",VLOOKUP($AE26,'Feed database'!$A$4:$M$63,AR$19,FALSE),0)</f>
        <v>0</v>
      </c>
      <c r="AS26">
        <f t="shared" si="6"/>
        <v>1.72</v>
      </c>
      <c r="AT26">
        <f t="shared" si="7"/>
        <v>21.5</v>
      </c>
      <c r="AU26">
        <f t="shared" si="8"/>
        <v>221.88</v>
      </c>
      <c r="AV26">
        <f t="shared" si="9"/>
        <v>10.148</v>
      </c>
      <c r="AW26">
        <f t="shared" si="10"/>
        <v>1.72</v>
      </c>
      <c r="AX26">
        <f t="shared" si="11"/>
        <v>1.204</v>
      </c>
      <c r="AY26">
        <f t="shared" si="12"/>
        <v>505.68</v>
      </c>
      <c r="AZ26">
        <f t="shared" si="13"/>
        <v>6.88</v>
      </c>
      <c r="BA26">
        <f t="shared" si="14"/>
        <v>509.12</v>
      </c>
      <c r="BB26">
        <f t="shared" si="15"/>
        <v>8.6</v>
      </c>
      <c r="BC26">
        <f t="shared" si="16"/>
        <v>29.412000000000003</v>
      </c>
      <c r="BD26">
        <f t="shared" si="17"/>
        <v>0</v>
      </c>
      <c r="BE26">
        <f t="shared" si="18"/>
        <v>0</v>
      </c>
      <c r="BF26">
        <f t="shared" si="19"/>
        <v>1.72</v>
      </c>
    </row>
    <row r="27" spans="2:58" ht="12.75" customHeight="1">
      <c r="B27" s="27" t="s">
        <v>68</v>
      </c>
      <c r="C27" s="42">
        <v>0.1</v>
      </c>
      <c r="D27" s="8">
        <f t="shared" si="3"/>
        <v>0.099</v>
      </c>
      <c r="M27" s="2"/>
      <c r="AB27" t="str">
        <f>'Feed database'!A25</f>
        <v>Rape Seed Meal</v>
      </c>
      <c r="AE27" t="str">
        <f t="shared" si="4"/>
        <v>Mins Gen</v>
      </c>
      <c r="AF27">
        <f t="shared" si="5"/>
        <v>0.1</v>
      </c>
      <c r="AG27" s="6">
        <f>IF($AE27&lt;&gt;"---",VLOOKUP($AE27,'Feed database'!$A$4:$L$63,AG$19,FALSE),0)</f>
        <v>99</v>
      </c>
      <c r="AH27" s="6">
        <f>IF($AE27&lt;&gt;"---",VLOOKUP($AE27,'Feed database'!$A$4:$M$63,AH$19,FALSE),0)</f>
        <v>0</v>
      </c>
      <c r="AI27" s="6">
        <f>IF($AE27&lt;&gt;"---",VLOOKUP($AE27,'Feed database'!$A$4:$M$63,AI$19,FALSE),0)</f>
        <v>0</v>
      </c>
      <c r="AJ27" s="6">
        <f>IF($AE27&lt;&gt;"---",VLOOKUP($AE27,'Feed database'!$A$4:$M$63,AJ$19,FALSE),0)</f>
        <v>122</v>
      </c>
      <c r="AK27" s="6">
        <f>IF($AE27&lt;&gt;"---",VLOOKUP($AE27,'Feed database'!$A$4:$M$63,AK$19,FALSE),0)</f>
        <v>80</v>
      </c>
      <c r="AL27" s="6">
        <f>IF($AE27&lt;&gt;"---",VLOOKUP($AE27,'Feed database'!$A$4:$M$63,AL$19,FALSE),0)</f>
        <v>60</v>
      </c>
      <c r="AM27" s="6">
        <f>IF($AE27&lt;&gt;"---",VLOOKUP($AE27,'Feed database'!$A$4:$M$63,AM$19,FALSE),0)</f>
        <v>0</v>
      </c>
      <c r="AN27" s="6">
        <f>IF($AE27&lt;&gt;"---",VLOOKUP($AE27,'Feed database'!$A$4:$M$63,AN$19,FALSE),0)</f>
        <v>0</v>
      </c>
      <c r="AO27" s="6">
        <f>IF($AE27&lt;&gt;"---",VLOOKUP($AE27,'Feed database'!$A$4:$M$63,AO$19,FALSE),0)</f>
        <v>0</v>
      </c>
      <c r="AP27" s="6">
        <f>IF($AE27&lt;&gt;"---",VLOOKUP($AE27,'Feed database'!$A$4:$M$63,AP$19,FALSE),0)</f>
        <v>0</v>
      </c>
      <c r="AQ27" s="6">
        <f>IF($AE27&lt;&gt;"---",VLOOKUP($AE27,'Feed database'!$A$4:$M$63,AQ$19,FALSE),0)</f>
        <v>0</v>
      </c>
      <c r="AR27" s="6">
        <f>IF($AE27&lt;&gt;"---",VLOOKUP($AE27,'Feed database'!$A$4:$M$63,AR$19,FALSE),0)</f>
        <v>0</v>
      </c>
      <c r="AS27">
        <f t="shared" si="6"/>
        <v>0.099</v>
      </c>
      <c r="AT27">
        <f t="shared" si="7"/>
        <v>0</v>
      </c>
      <c r="AU27">
        <f t="shared" si="8"/>
        <v>0</v>
      </c>
      <c r="AV27">
        <f t="shared" si="9"/>
        <v>12.078000000000001</v>
      </c>
      <c r="AW27">
        <f t="shared" si="10"/>
        <v>7.92</v>
      </c>
      <c r="AX27">
        <f t="shared" si="11"/>
        <v>5.94</v>
      </c>
      <c r="AY27">
        <f t="shared" si="12"/>
        <v>0</v>
      </c>
      <c r="AZ27">
        <f t="shared" si="13"/>
        <v>0</v>
      </c>
      <c r="BA27">
        <f t="shared" si="14"/>
        <v>0</v>
      </c>
      <c r="BB27">
        <f t="shared" si="15"/>
        <v>0</v>
      </c>
      <c r="BC27">
        <f t="shared" si="16"/>
        <v>0</v>
      </c>
      <c r="BD27">
        <f t="shared" si="17"/>
        <v>0</v>
      </c>
      <c r="BE27">
        <f t="shared" si="18"/>
        <v>0</v>
      </c>
      <c r="BF27">
        <f t="shared" si="19"/>
        <v>0.099</v>
      </c>
    </row>
    <row r="28" spans="2:58" ht="12.75" customHeight="1">
      <c r="B28" s="27" t="s">
        <v>91</v>
      </c>
      <c r="C28" s="28"/>
      <c r="D28" s="8">
        <f t="shared" si="3"/>
      </c>
      <c r="M28" s="2"/>
      <c r="AB28" t="str">
        <f>'Feed database'!A26</f>
        <v>Full Fat Soya</v>
      </c>
      <c r="AE28" t="str">
        <f t="shared" si="4"/>
        <v>---</v>
      </c>
      <c r="AF28" t="str">
        <f t="shared" si="5"/>
        <v>---</v>
      </c>
      <c r="AG28" s="6">
        <f>IF($AE28&lt;&gt;"---",VLOOKUP($AE28,'Feed database'!$A$4:$L$63,AG$19,FALSE),0)</f>
        <v>0</v>
      </c>
      <c r="AH28" s="6">
        <f>IF($AE28&lt;&gt;"---",VLOOKUP($AE28,'Feed database'!$A$4:$M$63,AH$19,FALSE),0)</f>
        <v>0</v>
      </c>
      <c r="AI28" s="6">
        <f>IF($AE28&lt;&gt;"---",VLOOKUP($AE28,'Feed database'!$A$4:$M$63,AI$19,FALSE),0)</f>
        <v>0</v>
      </c>
      <c r="AJ28" s="6">
        <f>IF($AE28&lt;&gt;"---",VLOOKUP($AE28,'Feed database'!$A$4:$M$63,AJ$19,FALSE),0)</f>
        <v>0</v>
      </c>
      <c r="AK28" s="6">
        <f>IF($AE28&lt;&gt;"---",VLOOKUP($AE28,'Feed database'!$A$4:$M$63,AK$19,FALSE),0)</f>
        <v>0</v>
      </c>
      <c r="AL28" s="6">
        <f>IF($AE28&lt;&gt;"---",VLOOKUP($AE28,'Feed database'!$A$4:$M$63,AL$19,FALSE),0)</f>
        <v>0</v>
      </c>
      <c r="AM28" s="6">
        <f>IF($AE28&lt;&gt;"---",VLOOKUP($AE28,'Feed database'!$A$4:$M$63,AM$19,FALSE),0)</f>
        <v>0</v>
      </c>
      <c r="AN28" s="6">
        <f>IF($AE28&lt;&gt;"---",VLOOKUP($AE28,'Feed database'!$A$4:$M$63,AN$19,FALSE),0)</f>
        <v>0</v>
      </c>
      <c r="AO28" s="6">
        <f>IF($AE28&lt;&gt;"---",VLOOKUP($AE28,'Feed database'!$A$4:$M$63,AO$19,FALSE),0)</f>
        <v>0</v>
      </c>
      <c r="AP28" s="6">
        <f>IF($AE28&lt;&gt;"---",VLOOKUP($AE28,'Feed database'!$A$4:$M$63,AP$19,FALSE),0)</f>
        <v>0</v>
      </c>
      <c r="AQ28" s="6">
        <f>IF($AE28&lt;&gt;"---",VLOOKUP($AE28,'Feed database'!$A$4:$M$63,AQ$19,FALSE),0)</f>
        <v>0</v>
      </c>
      <c r="AR28" s="6">
        <f>IF($AE28&lt;&gt;"---",VLOOKUP($AE28,'Feed database'!$A$4:$M$63,AR$19,FALSE),0)</f>
        <v>0</v>
      </c>
      <c r="AS28">
        <f t="shared" si="6"/>
        <v>0</v>
      </c>
      <c r="AT28">
        <f t="shared" si="7"/>
        <v>0</v>
      </c>
      <c r="AU28">
        <f t="shared" si="8"/>
        <v>0</v>
      </c>
      <c r="AV28">
        <f t="shared" si="9"/>
        <v>0</v>
      </c>
      <c r="AW28">
        <f t="shared" si="10"/>
        <v>0</v>
      </c>
      <c r="AX28">
        <f t="shared" si="11"/>
        <v>0</v>
      </c>
      <c r="AY28">
        <f t="shared" si="12"/>
        <v>0</v>
      </c>
      <c r="AZ28">
        <f t="shared" si="13"/>
        <v>0</v>
      </c>
      <c r="BA28">
        <f t="shared" si="14"/>
        <v>0</v>
      </c>
      <c r="BB28">
        <f t="shared" si="15"/>
        <v>0</v>
      </c>
      <c r="BC28">
        <f t="shared" si="16"/>
        <v>0</v>
      </c>
      <c r="BD28">
        <f t="shared" si="17"/>
        <v>0</v>
      </c>
      <c r="BE28">
        <f t="shared" si="18"/>
        <v>0</v>
      </c>
      <c r="BF28">
        <f t="shared" si="19"/>
        <v>0</v>
      </c>
    </row>
    <row r="29" spans="2:58" ht="12.75" customHeight="1">
      <c r="B29" s="27" t="s">
        <v>91</v>
      </c>
      <c r="C29" s="28"/>
      <c r="D29" s="8">
        <f t="shared" si="3"/>
      </c>
      <c r="AB29" t="str">
        <f>'Feed database'!A27</f>
        <v>Soyabean Ml Exp</v>
      </c>
      <c r="AE29" t="str">
        <f t="shared" si="4"/>
        <v>---</v>
      </c>
      <c r="AF29" t="str">
        <f t="shared" si="5"/>
        <v>---</v>
      </c>
      <c r="AG29" s="6">
        <f>IF($AE29&lt;&gt;"---",VLOOKUP($AE29,'Feed database'!$A$4:$L$63,AG$19,FALSE),0)</f>
        <v>0</v>
      </c>
      <c r="AH29" s="6">
        <f>IF($AE29&lt;&gt;"---",VLOOKUP($AE29,'Feed database'!$A$4:$M$63,AH$19,FALSE),0)</f>
        <v>0</v>
      </c>
      <c r="AI29" s="6">
        <f>IF($AE29&lt;&gt;"---",VLOOKUP($AE29,'Feed database'!$A$4:$M$63,AI$19,FALSE),0)</f>
        <v>0</v>
      </c>
      <c r="AJ29" s="6">
        <f>IF($AE29&lt;&gt;"---",VLOOKUP($AE29,'Feed database'!$A$4:$M$63,AJ$19,FALSE),0)</f>
        <v>0</v>
      </c>
      <c r="AK29" s="6">
        <f>IF($AE29&lt;&gt;"---",VLOOKUP($AE29,'Feed database'!$A$4:$M$63,AK$19,FALSE),0)</f>
        <v>0</v>
      </c>
      <c r="AL29" s="6">
        <f>IF($AE29&lt;&gt;"---",VLOOKUP($AE29,'Feed database'!$A$4:$M$63,AL$19,FALSE),0)</f>
        <v>0</v>
      </c>
      <c r="AM29" s="6">
        <f>IF($AE29&lt;&gt;"---",VLOOKUP($AE29,'Feed database'!$A$4:$M$63,AM$19,FALSE),0)</f>
        <v>0</v>
      </c>
      <c r="AN29" s="6">
        <f>IF($AE29&lt;&gt;"---",VLOOKUP($AE29,'Feed database'!$A$4:$M$63,AN$19,FALSE),0)</f>
        <v>0</v>
      </c>
      <c r="AO29" s="6">
        <f>IF($AE29&lt;&gt;"---",VLOOKUP($AE29,'Feed database'!$A$4:$M$63,AO$19,FALSE),0)</f>
        <v>0</v>
      </c>
      <c r="AP29" s="6">
        <f>IF($AE29&lt;&gt;"---",VLOOKUP($AE29,'Feed database'!$A$4:$M$63,AP$19,FALSE),0)</f>
        <v>0</v>
      </c>
      <c r="AQ29" s="6">
        <f>IF($AE29&lt;&gt;"---",VLOOKUP($AE29,'Feed database'!$A$4:$M$63,AQ$19,FALSE),0)</f>
        <v>0</v>
      </c>
      <c r="AR29" s="6">
        <f>IF($AE29&lt;&gt;"---",VLOOKUP($AE29,'Feed database'!$A$4:$M$63,AR$19,FALSE),0)</f>
        <v>0</v>
      </c>
      <c r="AS29">
        <f t="shared" si="6"/>
        <v>0</v>
      </c>
      <c r="AT29">
        <f t="shared" si="7"/>
        <v>0</v>
      </c>
      <c r="AU29">
        <f t="shared" si="8"/>
        <v>0</v>
      </c>
      <c r="AV29">
        <f t="shared" si="9"/>
        <v>0</v>
      </c>
      <c r="AW29">
        <f t="shared" si="10"/>
        <v>0</v>
      </c>
      <c r="AX29">
        <f t="shared" si="11"/>
        <v>0</v>
      </c>
      <c r="AY29">
        <f t="shared" si="12"/>
        <v>0</v>
      </c>
      <c r="AZ29">
        <f t="shared" si="13"/>
        <v>0</v>
      </c>
      <c r="BA29">
        <f t="shared" si="14"/>
        <v>0</v>
      </c>
      <c r="BB29">
        <f t="shared" si="15"/>
        <v>0</v>
      </c>
      <c r="BC29">
        <f t="shared" si="16"/>
        <v>0</v>
      </c>
      <c r="BD29">
        <f t="shared" si="17"/>
        <v>0</v>
      </c>
      <c r="BE29">
        <f t="shared" si="18"/>
        <v>0</v>
      </c>
      <c r="BF29">
        <f t="shared" si="19"/>
        <v>0</v>
      </c>
    </row>
    <row r="30" spans="2:58" ht="12.75" customHeight="1">
      <c r="B30" s="27" t="s">
        <v>91</v>
      </c>
      <c r="C30" s="28"/>
      <c r="D30" s="8">
        <f t="shared" si="3"/>
      </c>
      <c r="AB30" t="str">
        <f>'Feed database'!A28</f>
        <v>Cake 16%</v>
      </c>
      <c r="AE30" t="str">
        <f t="shared" si="4"/>
        <v>---</v>
      </c>
      <c r="AF30" t="str">
        <f t="shared" si="5"/>
        <v>---</v>
      </c>
      <c r="AG30" s="6">
        <f>IF($AE30&lt;&gt;"---",VLOOKUP($AE30,'Feed database'!$A$4:$L$63,AG$19,FALSE),0)</f>
        <v>0</v>
      </c>
      <c r="AH30" s="6">
        <f>IF($AE30&lt;&gt;"---",VLOOKUP($AE30,'Feed database'!$A$4:$M$63,AH$19,FALSE),0)</f>
        <v>0</v>
      </c>
      <c r="AI30" s="6">
        <f>IF($AE30&lt;&gt;"---",VLOOKUP($AE30,'Feed database'!$A$4:$M$63,AI$19,FALSE),0)</f>
        <v>0</v>
      </c>
      <c r="AJ30" s="6">
        <f>IF($AE30&lt;&gt;"---",VLOOKUP($AE30,'Feed database'!$A$4:$M$63,AJ$19,FALSE),0)</f>
        <v>0</v>
      </c>
      <c r="AK30" s="6">
        <f>IF($AE30&lt;&gt;"---",VLOOKUP($AE30,'Feed database'!$A$4:$M$63,AK$19,FALSE),0)</f>
        <v>0</v>
      </c>
      <c r="AL30" s="6">
        <f>IF($AE30&lt;&gt;"---",VLOOKUP($AE30,'Feed database'!$A$4:$M$63,AL$19,FALSE),0)</f>
        <v>0</v>
      </c>
      <c r="AM30" s="6">
        <f>IF($AE30&lt;&gt;"---",VLOOKUP($AE30,'Feed database'!$A$4:$M$63,AM$19,FALSE),0)</f>
        <v>0</v>
      </c>
      <c r="AN30" s="6">
        <f>IF($AE30&lt;&gt;"---",VLOOKUP($AE30,'Feed database'!$A$4:$M$63,AN$19,FALSE),0)</f>
        <v>0</v>
      </c>
      <c r="AO30" s="6">
        <f>IF($AE30&lt;&gt;"---",VLOOKUP($AE30,'Feed database'!$A$4:$M$63,AO$19,FALSE),0)</f>
        <v>0</v>
      </c>
      <c r="AP30" s="6">
        <f>IF($AE30&lt;&gt;"---",VLOOKUP($AE30,'Feed database'!$A$4:$M$63,AP$19,FALSE),0)</f>
        <v>0</v>
      </c>
      <c r="AQ30" s="6">
        <f>IF($AE30&lt;&gt;"---",VLOOKUP($AE30,'Feed database'!$A$4:$M$63,AQ$19,FALSE),0)</f>
        <v>0</v>
      </c>
      <c r="AR30" s="6">
        <f>IF($AE30&lt;&gt;"---",VLOOKUP($AE30,'Feed database'!$A$4:$M$63,AR$19,FALSE),0)</f>
        <v>0</v>
      </c>
      <c r="AS30">
        <f t="shared" si="6"/>
        <v>0</v>
      </c>
      <c r="AT30">
        <f t="shared" si="7"/>
        <v>0</v>
      </c>
      <c r="AU30">
        <f t="shared" si="8"/>
        <v>0</v>
      </c>
      <c r="AV30">
        <f t="shared" si="9"/>
        <v>0</v>
      </c>
      <c r="AW30">
        <f t="shared" si="10"/>
        <v>0</v>
      </c>
      <c r="AX30">
        <f t="shared" si="11"/>
        <v>0</v>
      </c>
      <c r="AY30">
        <f t="shared" si="12"/>
        <v>0</v>
      </c>
      <c r="AZ30">
        <f t="shared" si="13"/>
        <v>0</v>
      </c>
      <c r="BA30">
        <f t="shared" si="14"/>
        <v>0</v>
      </c>
      <c r="BB30">
        <f t="shared" si="15"/>
        <v>0</v>
      </c>
      <c r="BC30">
        <f t="shared" si="16"/>
        <v>0</v>
      </c>
      <c r="BD30">
        <f t="shared" si="17"/>
        <v>0</v>
      </c>
      <c r="BE30">
        <f t="shared" si="18"/>
        <v>0</v>
      </c>
      <c r="BF30">
        <f t="shared" si="19"/>
        <v>0</v>
      </c>
    </row>
    <row r="31" spans="2:58" ht="12.75" customHeight="1">
      <c r="B31" s="27" t="s">
        <v>91</v>
      </c>
      <c r="C31" s="28"/>
      <c r="D31" s="8">
        <f t="shared" si="3"/>
      </c>
      <c r="AB31" t="str">
        <f>'Feed database'!A29</f>
        <v>Cake 18%</v>
      </c>
      <c r="AE31" t="str">
        <f t="shared" si="4"/>
        <v>---</v>
      </c>
      <c r="AF31" t="str">
        <f t="shared" si="5"/>
        <v>---</v>
      </c>
      <c r="AG31" s="6">
        <f>IF($AE31&lt;&gt;"---",VLOOKUP($AE31,'Feed database'!$A$4:$L$63,AG$19,FALSE),0)</f>
        <v>0</v>
      </c>
      <c r="AH31" s="6">
        <f>IF($AE31&lt;&gt;"---",VLOOKUP($AE31,'Feed database'!$A$4:$M$63,AH$19,FALSE),0)</f>
        <v>0</v>
      </c>
      <c r="AI31" s="6">
        <f>IF($AE31&lt;&gt;"---",VLOOKUP($AE31,'Feed database'!$A$4:$M$63,AI$19,FALSE),0)</f>
        <v>0</v>
      </c>
      <c r="AJ31" s="6">
        <f>IF($AE31&lt;&gt;"---",VLOOKUP($AE31,'Feed database'!$A$4:$M$63,AJ$19,FALSE),0)</f>
        <v>0</v>
      </c>
      <c r="AK31" s="6">
        <f>IF($AE31&lt;&gt;"---",VLOOKUP($AE31,'Feed database'!$A$4:$M$63,AK$19,FALSE),0)</f>
        <v>0</v>
      </c>
      <c r="AL31" s="6">
        <f>IF($AE31&lt;&gt;"---",VLOOKUP($AE31,'Feed database'!$A$4:$M$63,AL$19,FALSE),0)</f>
        <v>0</v>
      </c>
      <c r="AM31" s="6">
        <f>IF($AE31&lt;&gt;"---",VLOOKUP($AE31,'Feed database'!$A$4:$M$63,AM$19,FALSE),0)</f>
        <v>0</v>
      </c>
      <c r="AN31" s="6">
        <f>IF($AE31&lt;&gt;"---",VLOOKUP($AE31,'Feed database'!$A$4:$M$63,AN$19,FALSE),0)</f>
        <v>0</v>
      </c>
      <c r="AO31" s="6">
        <f>IF($AE31&lt;&gt;"---",VLOOKUP($AE31,'Feed database'!$A$4:$M$63,AO$19,FALSE),0)</f>
        <v>0</v>
      </c>
      <c r="AP31" s="6">
        <f>IF($AE31&lt;&gt;"---",VLOOKUP($AE31,'Feed database'!$A$4:$M$63,AP$19,FALSE),0)</f>
        <v>0</v>
      </c>
      <c r="AQ31" s="6">
        <f>IF($AE31&lt;&gt;"---",VLOOKUP($AE31,'Feed database'!$A$4:$M$63,AQ$19,FALSE),0)</f>
        <v>0</v>
      </c>
      <c r="AR31" s="6">
        <f>IF($AE31&lt;&gt;"---",VLOOKUP($AE31,'Feed database'!$A$4:$M$63,AR$19,FALSE),0)</f>
        <v>0</v>
      </c>
      <c r="AS31">
        <f t="shared" si="6"/>
        <v>0</v>
      </c>
      <c r="AT31">
        <f t="shared" si="7"/>
        <v>0</v>
      </c>
      <c r="AU31">
        <f t="shared" si="8"/>
        <v>0</v>
      </c>
      <c r="AV31">
        <f t="shared" si="9"/>
        <v>0</v>
      </c>
      <c r="AW31">
        <f t="shared" si="10"/>
        <v>0</v>
      </c>
      <c r="AX31">
        <f t="shared" si="11"/>
        <v>0</v>
      </c>
      <c r="AY31">
        <f t="shared" si="12"/>
        <v>0</v>
      </c>
      <c r="AZ31">
        <f t="shared" si="13"/>
        <v>0</v>
      </c>
      <c r="BA31">
        <f t="shared" si="14"/>
        <v>0</v>
      </c>
      <c r="BB31">
        <f t="shared" si="15"/>
        <v>0</v>
      </c>
      <c r="BC31">
        <f t="shared" si="16"/>
        <v>0</v>
      </c>
      <c r="BD31">
        <f t="shared" si="17"/>
        <v>0</v>
      </c>
      <c r="BE31">
        <f t="shared" si="18"/>
        <v>0</v>
      </c>
      <c r="BF31">
        <f t="shared" si="19"/>
        <v>0</v>
      </c>
    </row>
    <row r="32" spans="2:58" ht="12.75" customHeight="1">
      <c r="B32" s="3" t="s">
        <v>93</v>
      </c>
      <c r="C32" s="15">
        <f>SUM(C21:C31)</f>
        <v>52.1</v>
      </c>
      <c r="D32" s="19">
        <f>SUM(D21:D31)</f>
        <v>19.699</v>
      </c>
      <c r="AB32" t="str">
        <f>'Feed database'!A30</f>
        <v>Cake 20%</v>
      </c>
      <c r="AR32" s="6" t="s">
        <v>93</v>
      </c>
      <c r="AS32">
        <f>SUM(AS21:AS31)</f>
        <v>19.699</v>
      </c>
      <c r="AT32">
        <f aca="true" t="shared" si="20" ref="AT32:BD32">SUM(AT21:AT31)</f>
        <v>230.045</v>
      </c>
      <c r="AU32">
        <f t="shared" si="20"/>
        <v>3455.34</v>
      </c>
      <c r="AV32">
        <f t="shared" si="20"/>
        <v>110.057</v>
      </c>
      <c r="AW32">
        <f t="shared" si="20"/>
        <v>51.07300000000001</v>
      </c>
      <c r="AX32">
        <f t="shared" si="20"/>
        <v>83.449</v>
      </c>
      <c r="AY32">
        <f t="shared" si="20"/>
        <v>7457.01</v>
      </c>
      <c r="AZ32">
        <f t="shared" si="20"/>
        <v>586.6899999999999</v>
      </c>
      <c r="BA32">
        <f t="shared" si="20"/>
        <v>1068.77</v>
      </c>
      <c r="BB32">
        <f t="shared" si="20"/>
        <v>3163.58</v>
      </c>
      <c r="BC32">
        <f t="shared" si="20"/>
        <v>369.82800000000003</v>
      </c>
      <c r="BD32">
        <f t="shared" si="20"/>
        <v>5817.24</v>
      </c>
      <c r="BE32">
        <f>SUM(BE21:BE31)</f>
        <v>12.54</v>
      </c>
      <c r="BF32">
        <f>SUM(BF21:BF31)</f>
        <v>7.159</v>
      </c>
    </row>
    <row r="33" ht="12.75" customHeight="1">
      <c r="AB33" t="str">
        <f>'Feed database'!A31</f>
        <v>Cake 24%</v>
      </c>
    </row>
    <row r="34" spans="2:28" ht="12.75" customHeight="1">
      <c r="B34" s="17" t="s">
        <v>140</v>
      </c>
      <c r="AB34" t="str">
        <f>'Feed database'!A32</f>
        <v>Cake 27%</v>
      </c>
    </row>
    <row r="35" spans="2:28" ht="38.25" customHeight="1">
      <c r="B35" s="29" t="s">
        <v>8</v>
      </c>
      <c r="C35" s="30"/>
      <c r="D35" s="30"/>
      <c r="E35" s="30"/>
      <c r="F35" s="30"/>
      <c r="G35" s="30"/>
      <c r="H35" s="31"/>
      <c r="AB35" t="str">
        <f>'Feed database'!A33</f>
        <v>Cake 30%</v>
      </c>
    </row>
    <row r="36" ht="12.75" customHeight="1">
      <c r="AB36" t="str">
        <f>'Feed database'!A34</f>
        <v>Cake 34%</v>
      </c>
    </row>
    <row r="37" ht="12.75" customHeight="1">
      <c r="AB37" t="str">
        <f>'Feed database'!A35</f>
        <v>Mins Gen</v>
      </c>
    </row>
    <row r="38" ht="12.75" customHeight="1">
      <c r="AB38" t="str">
        <f>'Feed database'!A36</f>
        <v>Mins HiP</v>
      </c>
    </row>
    <row r="39" ht="12.75" customHeight="1">
      <c r="AB39" t="str">
        <f>'Feed database'!A37</f>
        <v>Fat prills</v>
      </c>
    </row>
    <row r="40" ht="12.75" customHeight="1">
      <c r="AB40" t="str">
        <f>'Feed database'!A38</f>
        <v>Add feed1</v>
      </c>
    </row>
    <row r="41" spans="2:28" s="4" customFormat="1" ht="12.75" customHeight="1">
      <c r="B41" s="48" t="s">
        <v>149</v>
      </c>
      <c r="C41" s="48"/>
      <c r="D41" s="48"/>
      <c r="E41" s="48"/>
      <c r="F41" s="48"/>
      <c r="G41" s="48"/>
      <c r="H41" s="48"/>
      <c r="AB41" t="str">
        <f>'Feed database'!A39</f>
        <v>Add feed2</v>
      </c>
    </row>
    <row r="42" ht="12.75" customHeight="1">
      <c r="AB42" t="str">
        <f>'Feed database'!A40</f>
        <v>Add feed3</v>
      </c>
    </row>
    <row r="43" ht="12.75" customHeight="1">
      <c r="AB43" t="str">
        <f>'Feed database'!A41</f>
        <v>Add feed4</v>
      </c>
    </row>
    <row r="44" ht="12.75" customHeight="1">
      <c r="AB44" t="str">
        <f>'Feed database'!A42</f>
        <v>Add feed5</v>
      </c>
    </row>
    <row r="45" ht="12.75" customHeight="1">
      <c r="AB45" t="str">
        <f>'Feed database'!A43</f>
        <v>Add feed6</v>
      </c>
    </row>
    <row r="46" ht="12.75" customHeight="1">
      <c r="AB46" t="str">
        <f>'Feed database'!A44</f>
        <v>Add feed7</v>
      </c>
    </row>
    <row r="47" ht="12.75" customHeight="1">
      <c r="AB47" t="str">
        <f>'Feed database'!A45</f>
        <v>Add feed8</v>
      </c>
    </row>
    <row r="48" ht="12.75" customHeight="1">
      <c r="AB48" t="str">
        <f>'Feed database'!A46</f>
        <v>Add feed9</v>
      </c>
    </row>
    <row r="49" ht="12.75" customHeight="1">
      <c r="AB49" t="str">
        <f>'Feed database'!A47</f>
        <v>Add feed10</v>
      </c>
    </row>
    <row r="50" ht="12.75" customHeight="1">
      <c r="AB50" t="str">
        <f>'Feed database'!A48</f>
        <v>Add feed11</v>
      </c>
    </row>
    <row r="51" ht="12.75" customHeight="1">
      <c r="AB51" t="str">
        <f>'Feed database'!A49</f>
        <v>Add feed12</v>
      </c>
    </row>
    <row r="52" ht="12.75" customHeight="1">
      <c r="AB52" t="str">
        <f>'Feed database'!A50</f>
        <v>Add feed13</v>
      </c>
    </row>
    <row r="53" ht="12.75" customHeight="1">
      <c r="AB53" t="str">
        <f>'Feed database'!A51</f>
        <v>Add feed14</v>
      </c>
    </row>
    <row r="54" ht="12.75" customHeight="1">
      <c r="AB54" t="str">
        <f>'Feed database'!A52</f>
        <v>Add feed15</v>
      </c>
    </row>
    <row r="55" ht="12.75" customHeight="1">
      <c r="AB55" t="str">
        <f>'Feed database'!A53</f>
        <v>Add feed16</v>
      </c>
    </row>
    <row r="56" ht="12.75" customHeight="1">
      <c r="AB56" t="str">
        <f>'Feed database'!A54</f>
        <v>Add feed17</v>
      </c>
    </row>
    <row r="57" ht="12.75" customHeight="1">
      <c r="AB57" t="str">
        <f>'Feed database'!A55</f>
        <v>Add feed18</v>
      </c>
    </row>
    <row r="58" ht="12.75" customHeight="1">
      <c r="AB58" t="str">
        <f>'Feed database'!A56</f>
        <v>Add feed19</v>
      </c>
    </row>
    <row r="59" ht="12.75" customHeight="1">
      <c r="AB59" t="str">
        <f>'Feed database'!A57</f>
        <v>Add feed20</v>
      </c>
    </row>
    <row r="60" ht="12.75" customHeight="1">
      <c r="AB60" t="str">
        <f>'Feed database'!A58</f>
        <v>Add feed21</v>
      </c>
    </row>
    <row r="61" ht="12.75" customHeight="1">
      <c r="AB61" t="str">
        <f>'Feed database'!A59</f>
        <v>Add feed22</v>
      </c>
    </row>
    <row r="62" ht="12.75" customHeight="1">
      <c r="AB62" t="str">
        <f>'Feed database'!A60</f>
        <v>Add feed23</v>
      </c>
    </row>
    <row r="63" ht="12.75" customHeight="1">
      <c r="AB63" t="str">
        <f>'Feed database'!A61</f>
        <v>Add feed24</v>
      </c>
    </row>
    <row r="64" ht="12.75" customHeight="1">
      <c r="AB64" t="str">
        <f>'Feed database'!A62</f>
        <v>Add feed25</v>
      </c>
    </row>
    <row r="65" ht="12.75" customHeight="1">
      <c r="AB65" t="str">
        <f>'Feed database'!A63</f>
        <v>Add feed26</v>
      </c>
    </row>
    <row r="66" ht="12.75" customHeight="1">
      <c r="AB66" t="str">
        <f>'Feed database'!A64</f>
        <v>Add feed27</v>
      </c>
    </row>
    <row r="67" ht="12.75" customHeight="1">
      <c r="AB67" t="str">
        <f>'Feed database'!A65</f>
        <v>Add feed28</v>
      </c>
    </row>
    <row r="68" ht="12.75" customHeight="1">
      <c r="AB68" t="str">
        <f>'Feed database'!A66</f>
        <v>Add feed29</v>
      </c>
    </row>
  </sheetData>
  <sheetProtection/>
  <mergeCells count="6">
    <mergeCell ref="G1:H1"/>
    <mergeCell ref="C3:H3"/>
    <mergeCell ref="F21:G21"/>
    <mergeCell ref="F22:G22"/>
    <mergeCell ref="F23:G23"/>
    <mergeCell ref="B41:H41"/>
  </mergeCells>
  <conditionalFormatting sqref="G6 G14:G16">
    <cfRule type="cellIs" priority="17" dxfId="6" operator="between" stopIfTrue="1">
      <formula>120.00001</formula>
      <formula>1000</formula>
    </cfRule>
    <cfRule type="cellIs" priority="18" dxfId="5" operator="between" stopIfTrue="1">
      <formula>110.001</formula>
      <formula>120</formula>
    </cfRule>
    <cfRule type="cellIs" priority="19" dxfId="4" operator="between" stopIfTrue="1">
      <formula>102</formula>
      <formula>110</formula>
    </cfRule>
  </conditionalFormatting>
  <conditionalFormatting sqref="G7:G8">
    <cfRule type="cellIs" priority="14" dxfId="6" operator="between" stopIfTrue="1">
      <formula>89.999999</formula>
      <formula>0</formula>
    </cfRule>
    <cfRule type="cellIs" priority="15" dxfId="5" operator="between" stopIfTrue="1">
      <formula>94.999999</formula>
      <formula>90</formula>
    </cfRule>
    <cfRule type="cellIs" priority="16" dxfId="4" operator="between" stopIfTrue="1">
      <formula>98</formula>
      <formula>95</formula>
    </cfRule>
  </conditionalFormatting>
  <conditionalFormatting sqref="H11">
    <cfRule type="cellIs" priority="8" dxfId="6" operator="between" stopIfTrue="1">
      <formula>3.1999999</formula>
      <formula>0</formula>
    </cfRule>
    <cfRule type="cellIs" priority="9" dxfId="5" operator="between" stopIfTrue="1">
      <formula>3.4999999</formula>
      <formula>3.2</formula>
    </cfRule>
    <cfRule type="cellIs" priority="10" dxfId="4" operator="between" stopIfTrue="1">
      <formula>4</formula>
      <formula>3.5</formula>
    </cfRule>
  </conditionalFormatting>
  <conditionalFormatting sqref="B27">
    <cfRule type="cellIs" priority="4" dxfId="0" operator="equal" stopIfTrue="1">
      <formula>$AB$5</formula>
    </cfRule>
  </conditionalFormatting>
  <conditionalFormatting sqref="B28:B31">
    <cfRule type="cellIs" priority="3" dxfId="0" operator="equal" stopIfTrue="1">
      <formula>$AB$5</formula>
    </cfRule>
  </conditionalFormatting>
  <conditionalFormatting sqref="B21:B26">
    <cfRule type="cellIs" priority="2" dxfId="0" operator="equal" stopIfTrue="1">
      <formula>$AB$5</formula>
    </cfRule>
  </conditionalFormatting>
  <conditionalFormatting sqref="B21:B26">
    <cfRule type="cellIs" priority="1" dxfId="0" operator="equal" stopIfTrue="1">
      <formula>$AB$5</formula>
    </cfRule>
  </conditionalFormatting>
  <dataValidations count="10">
    <dataValidation type="decimal" allowBlank="1" showInputMessage="1" showErrorMessage="1" sqref="C21">
      <formula1>0</formula1>
      <formula2>99</formula2>
    </dataValidation>
    <dataValidation type="list" allowBlank="1" showInputMessage="1" showErrorMessage="1" sqref="B21:B31">
      <formula1>$AB$5:$AB$68</formula1>
    </dataValidation>
    <dataValidation type="whole" allowBlank="1" showInputMessage="1" showErrorMessage="1" sqref="C6">
      <formula1>250</formula1>
      <formula2>900</formula2>
    </dataValidation>
    <dataValidation type="decimal" allowBlank="1" showInputMessage="1" showErrorMessage="1" sqref="C7">
      <formula1>0</formula1>
      <formula2>60</formula2>
    </dataValidation>
    <dataValidation type="decimal" allowBlank="1" showInputMessage="1" showErrorMessage="1" sqref="C8">
      <formula1>-2</formula1>
      <formula2>2</formula2>
    </dataValidation>
    <dataValidation type="decimal" allowBlank="1" showInputMessage="1" showErrorMessage="1" sqref="C9">
      <formula1>0.8</formula1>
      <formula2>1.4</formula2>
    </dataValidation>
    <dataValidation type="whole" allowBlank="1" showInputMessage="1" showErrorMessage="1" sqref="C10">
      <formula1>0</formula1>
      <formula2>80</formula2>
    </dataValidation>
    <dataValidation type="whole" allowBlank="1" showInputMessage="1" showErrorMessage="1" sqref="C11">
      <formula1>0</formula1>
      <formula2>41</formula2>
    </dataValidation>
    <dataValidation type="decimal" allowBlank="1" showInputMessage="1" showErrorMessage="1" sqref="C12">
      <formula1>2</formula1>
      <formula2>7</formula2>
    </dataValidation>
    <dataValidation type="decimal" allowBlank="1" showInputMessage="1" showErrorMessage="1" sqref="C13">
      <formula1>2</formula1>
      <formula2>6</formula2>
    </dataValidation>
  </dataValidation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showGridLines="0" showRowColHeader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23" sqref="H23"/>
    </sheetView>
  </sheetViews>
  <sheetFormatPr defaultColWidth="9.140625" defaultRowHeight="12.75" customHeight="1"/>
  <cols>
    <col min="1" max="1" width="16.28125" style="32" customWidth="1"/>
    <col min="2" max="13" width="8.00390625" style="32" customWidth="1"/>
    <col min="14" max="16384" width="9.140625" style="32" customWidth="1"/>
  </cols>
  <sheetData>
    <row r="1" ht="12.75" customHeight="1">
      <c r="A1" s="32" t="s">
        <v>26</v>
      </c>
    </row>
    <row r="2" spans="2:13" ht="12.75" customHeight="1">
      <c r="B2" s="33" t="s">
        <v>28</v>
      </c>
      <c r="C2" s="33" t="s">
        <v>13</v>
      </c>
      <c r="D2" s="33" t="s">
        <v>16</v>
      </c>
      <c r="E2" s="33" t="s">
        <v>9</v>
      </c>
      <c r="F2" s="33" t="s">
        <v>10</v>
      </c>
      <c r="G2" s="33" t="s">
        <v>11</v>
      </c>
      <c r="H2" s="33" t="s">
        <v>29</v>
      </c>
      <c r="I2" s="33" t="s">
        <v>30</v>
      </c>
      <c r="J2" s="33" t="s">
        <v>31</v>
      </c>
      <c r="K2" s="33" t="s">
        <v>32</v>
      </c>
      <c r="L2" s="33" t="s">
        <v>33</v>
      </c>
      <c r="M2" s="34" t="s">
        <v>128</v>
      </c>
    </row>
    <row r="3" spans="2:13" ht="12.75" customHeight="1">
      <c r="B3" s="33" t="s">
        <v>34</v>
      </c>
      <c r="C3" s="33" t="s">
        <v>35</v>
      </c>
      <c r="D3" s="33" t="s">
        <v>36</v>
      </c>
      <c r="E3" s="33" t="s">
        <v>36</v>
      </c>
      <c r="F3" s="33" t="s">
        <v>36</v>
      </c>
      <c r="G3" s="33" t="s">
        <v>36</v>
      </c>
      <c r="H3" s="33" t="s">
        <v>36</v>
      </c>
      <c r="I3" s="33" t="s">
        <v>36</v>
      </c>
      <c r="J3" s="33" t="s">
        <v>36</v>
      </c>
      <c r="K3" s="33" t="s">
        <v>36</v>
      </c>
      <c r="L3" s="33" t="s">
        <v>35</v>
      </c>
      <c r="M3" s="33"/>
    </row>
    <row r="4" spans="1:13" ht="12.75" customHeight="1">
      <c r="A4" s="35" t="s">
        <v>37</v>
      </c>
      <c r="B4" s="35">
        <v>85</v>
      </c>
      <c r="C4" s="35">
        <v>8.1</v>
      </c>
      <c r="D4" s="35">
        <v>109</v>
      </c>
      <c r="E4" s="35">
        <v>5</v>
      </c>
      <c r="F4" s="35">
        <v>1.5</v>
      </c>
      <c r="G4" s="35">
        <v>2.7</v>
      </c>
      <c r="H4" s="35">
        <v>699</v>
      </c>
      <c r="I4" s="35">
        <v>16</v>
      </c>
      <c r="J4" s="35">
        <v>68</v>
      </c>
      <c r="K4" s="35">
        <v>2</v>
      </c>
      <c r="L4" s="35">
        <v>18.4</v>
      </c>
      <c r="M4" s="35">
        <v>1</v>
      </c>
    </row>
    <row r="5" spans="1:13" ht="12.75" customHeight="1">
      <c r="A5" s="35" t="s">
        <v>38</v>
      </c>
      <c r="B5" s="35">
        <v>86</v>
      </c>
      <c r="C5" s="35">
        <v>9.6</v>
      </c>
      <c r="D5" s="35">
        <v>131</v>
      </c>
      <c r="E5" s="35">
        <v>6.3</v>
      </c>
      <c r="F5" s="35">
        <v>1.6</v>
      </c>
      <c r="G5" s="35">
        <v>3</v>
      </c>
      <c r="H5" s="35">
        <v>650</v>
      </c>
      <c r="I5" s="35">
        <v>18</v>
      </c>
      <c r="J5" s="35">
        <v>93</v>
      </c>
      <c r="K5" s="35">
        <v>1</v>
      </c>
      <c r="L5" s="35">
        <v>18.4</v>
      </c>
      <c r="M5" s="35">
        <v>1</v>
      </c>
    </row>
    <row r="6" spans="1:13" ht="12.75" customHeight="1">
      <c r="A6" s="35" t="s">
        <v>39</v>
      </c>
      <c r="B6" s="35">
        <v>87</v>
      </c>
      <c r="C6" s="35">
        <v>6.5</v>
      </c>
      <c r="D6" s="35">
        <v>43</v>
      </c>
      <c r="E6" s="35">
        <v>4.5</v>
      </c>
      <c r="F6" s="35">
        <v>0.8</v>
      </c>
      <c r="G6" s="35">
        <v>0.9</v>
      </c>
      <c r="H6" s="35">
        <v>809</v>
      </c>
      <c r="I6" s="35">
        <v>14</v>
      </c>
      <c r="J6" s="35">
        <v>18</v>
      </c>
      <c r="K6" s="35">
        <v>5</v>
      </c>
      <c r="L6" s="35">
        <v>18.5</v>
      </c>
      <c r="M6" s="35">
        <v>1</v>
      </c>
    </row>
    <row r="7" spans="1:13" ht="12.75" customHeight="1">
      <c r="A7" s="35" t="s">
        <v>40</v>
      </c>
      <c r="B7" s="35">
        <v>87</v>
      </c>
      <c r="C7" s="35">
        <v>6.1</v>
      </c>
      <c r="D7" s="35">
        <v>38</v>
      </c>
      <c r="E7" s="35">
        <v>3.8</v>
      </c>
      <c r="F7" s="35">
        <v>0.8</v>
      </c>
      <c r="G7" s="35">
        <v>0.7</v>
      </c>
      <c r="H7" s="35">
        <v>805</v>
      </c>
      <c r="I7" s="35">
        <v>13</v>
      </c>
      <c r="J7" s="35">
        <v>11</v>
      </c>
      <c r="K7" s="35">
        <v>5</v>
      </c>
      <c r="L7" s="35">
        <v>18.1</v>
      </c>
      <c r="M7" s="35">
        <v>1</v>
      </c>
    </row>
    <row r="8" spans="1:13" ht="12.75" customHeight="1">
      <c r="A8" s="35" t="s">
        <v>41</v>
      </c>
      <c r="B8" s="36">
        <v>23</v>
      </c>
      <c r="C8" s="36">
        <v>9.8</v>
      </c>
      <c r="D8" s="36">
        <v>106</v>
      </c>
      <c r="E8" s="36">
        <v>4.4</v>
      </c>
      <c r="F8" s="36">
        <v>1.4</v>
      </c>
      <c r="G8" s="36">
        <v>2.5</v>
      </c>
      <c r="H8" s="36">
        <v>629</v>
      </c>
      <c r="I8" s="36">
        <v>19</v>
      </c>
      <c r="J8" s="36">
        <v>154</v>
      </c>
      <c r="K8" s="36">
        <v>5</v>
      </c>
      <c r="L8" s="36">
        <v>18.4</v>
      </c>
      <c r="M8" s="36">
        <v>1</v>
      </c>
    </row>
    <row r="9" spans="1:13" ht="12.75" customHeight="1">
      <c r="A9" s="35" t="s">
        <v>42</v>
      </c>
      <c r="B9" s="36">
        <v>21</v>
      </c>
      <c r="C9" s="36">
        <v>10.7</v>
      </c>
      <c r="D9" s="36">
        <v>121</v>
      </c>
      <c r="E9" s="36">
        <v>4.6</v>
      </c>
      <c r="F9" s="36">
        <v>1.4</v>
      </c>
      <c r="G9" s="36">
        <v>2.7</v>
      </c>
      <c r="H9" s="36">
        <v>610</v>
      </c>
      <c r="I9" s="36">
        <v>20</v>
      </c>
      <c r="J9" s="36">
        <v>161</v>
      </c>
      <c r="K9" s="36">
        <v>3</v>
      </c>
      <c r="L9" s="36">
        <v>18.6</v>
      </c>
      <c r="M9" s="36">
        <v>1</v>
      </c>
    </row>
    <row r="10" spans="1:13" ht="12.75" customHeight="1">
      <c r="A10" s="35" t="s">
        <v>43</v>
      </c>
      <c r="B10" s="36">
        <v>21</v>
      </c>
      <c r="C10" s="36">
        <v>11.8</v>
      </c>
      <c r="D10" s="36">
        <v>139</v>
      </c>
      <c r="E10" s="36">
        <v>5.2</v>
      </c>
      <c r="F10" s="36">
        <v>1.4</v>
      </c>
      <c r="G10" s="36">
        <v>2.9</v>
      </c>
      <c r="H10" s="36">
        <v>576</v>
      </c>
      <c r="I10" s="36">
        <v>22</v>
      </c>
      <c r="J10" s="36">
        <v>174</v>
      </c>
      <c r="K10" s="36">
        <v>3</v>
      </c>
      <c r="L10" s="36">
        <v>18.6</v>
      </c>
      <c r="M10" s="36">
        <v>1</v>
      </c>
    </row>
    <row r="11" spans="1:13" ht="12.75" customHeight="1">
      <c r="A11" s="35" t="s">
        <v>44</v>
      </c>
      <c r="B11" s="36">
        <v>27</v>
      </c>
      <c r="C11" s="36">
        <v>10.4</v>
      </c>
      <c r="D11" s="36">
        <v>151</v>
      </c>
      <c r="E11" s="36">
        <v>6.8</v>
      </c>
      <c r="F11" s="36">
        <v>1.6</v>
      </c>
      <c r="G11" s="36">
        <v>3.1</v>
      </c>
      <c r="H11" s="36">
        <v>546</v>
      </c>
      <c r="I11" s="36">
        <v>35</v>
      </c>
      <c r="J11" s="36">
        <v>17</v>
      </c>
      <c r="K11" s="36">
        <v>7</v>
      </c>
      <c r="L11" s="36">
        <v>19.5</v>
      </c>
      <c r="M11" s="36">
        <v>1</v>
      </c>
    </row>
    <row r="12" spans="1:13" ht="12.75" customHeight="1">
      <c r="A12" s="35" t="s">
        <v>45</v>
      </c>
      <c r="B12" s="36">
        <v>27</v>
      </c>
      <c r="C12" s="36">
        <v>10.8</v>
      </c>
      <c r="D12" s="36">
        <v>156</v>
      </c>
      <c r="E12" s="36">
        <v>5.8</v>
      </c>
      <c r="F12" s="36">
        <v>1.5</v>
      </c>
      <c r="G12" s="36">
        <v>3</v>
      </c>
      <c r="H12" s="36">
        <v>523</v>
      </c>
      <c r="I12" s="36">
        <v>37</v>
      </c>
      <c r="J12" s="36">
        <v>21</v>
      </c>
      <c r="K12" s="36">
        <v>10</v>
      </c>
      <c r="L12" s="36">
        <v>18.7</v>
      </c>
      <c r="M12" s="36">
        <v>1</v>
      </c>
    </row>
    <row r="13" spans="1:13" ht="12.75" customHeight="1">
      <c r="A13" s="35" t="s">
        <v>46</v>
      </c>
      <c r="B13" s="36">
        <v>21</v>
      </c>
      <c r="C13" s="36">
        <v>11.1</v>
      </c>
      <c r="D13" s="36">
        <v>171</v>
      </c>
      <c r="E13" s="36">
        <v>6</v>
      </c>
      <c r="F13" s="36">
        <v>1.4</v>
      </c>
      <c r="G13" s="36">
        <v>2.9</v>
      </c>
      <c r="H13" s="36">
        <v>483</v>
      </c>
      <c r="I13" s="36">
        <v>51</v>
      </c>
      <c r="J13" s="36">
        <v>19</v>
      </c>
      <c r="K13" s="36">
        <v>5</v>
      </c>
      <c r="L13" s="36">
        <v>18.9</v>
      </c>
      <c r="M13" s="36">
        <v>1</v>
      </c>
    </row>
    <row r="14" spans="1:13" ht="12.75" customHeight="1">
      <c r="A14" s="35" t="s">
        <v>47</v>
      </c>
      <c r="B14" s="36">
        <v>30</v>
      </c>
      <c r="C14" s="36">
        <v>11.8</v>
      </c>
      <c r="D14" s="36">
        <v>76</v>
      </c>
      <c r="E14" s="36">
        <v>3.9</v>
      </c>
      <c r="F14" s="36">
        <v>2.4</v>
      </c>
      <c r="G14" s="36">
        <v>1.8</v>
      </c>
      <c r="H14" s="36">
        <v>390</v>
      </c>
      <c r="I14" s="36">
        <v>30</v>
      </c>
      <c r="J14" s="36">
        <v>15</v>
      </c>
      <c r="K14" s="36">
        <v>280</v>
      </c>
      <c r="L14" s="36">
        <v>18.5</v>
      </c>
      <c r="M14" s="36">
        <v>1</v>
      </c>
    </row>
    <row r="15" spans="1:13" ht="12.75" customHeight="1">
      <c r="A15" s="35" t="s">
        <v>48</v>
      </c>
      <c r="B15" s="35">
        <v>86</v>
      </c>
      <c r="C15" s="35">
        <v>12.8</v>
      </c>
      <c r="D15" s="35">
        <v>128</v>
      </c>
      <c r="E15" s="35">
        <v>1.1</v>
      </c>
      <c r="F15" s="35">
        <v>1.2</v>
      </c>
      <c r="G15" s="35">
        <v>3.9</v>
      </c>
      <c r="H15" s="35">
        <v>234</v>
      </c>
      <c r="I15" s="35">
        <v>13</v>
      </c>
      <c r="J15" s="35">
        <v>35</v>
      </c>
      <c r="K15" s="35">
        <v>528</v>
      </c>
      <c r="L15" s="35">
        <v>18.5</v>
      </c>
      <c r="M15" s="35">
        <v>0</v>
      </c>
    </row>
    <row r="16" spans="1:13" ht="12.75" customHeight="1">
      <c r="A16" s="35" t="s">
        <v>49</v>
      </c>
      <c r="B16" s="35">
        <v>88</v>
      </c>
      <c r="C16" s="35">
        <v>11.8</v>
      </c>
      <c r="D16" s="35">
        <v>72</v>
      </c>
      <c r="E16" s="35">
        <v>19</v>
      </c>
      <c r="F16" s="35">
        <v>1.3</v>
      </c>
      <c r="G16" s="35">
        <v>1.2</v>
      </c>
      <c r="H16" s="35">
        <v>254</v>
      </c>
      <c r="I16" s="35">
        <v>32</v>
      </c>
      <c r="J16" s="35">
        <v>217</v>
      </c>
      <c r="K16" s="35">
        <v>20</v>
      </c>
      <c r="L16" s="35">
        <v>17.5</v>
      </c>
      <c r="M16" s="35">
        <v>0</v>
      </c>
    </row>
    <row r="17" spans="1:13" ht="12.75" customHeight="1">
      <c r="A17" s="35" t="s">
        <v>50</v>
      </c>
      <c r="B17" s="35">
        <v>18</v>
      </c>
      <c r="C17" s="35">
        <v>11.9</v>
      </c>
      <c r="D17" s="35">
        <v>63</v>
      </c>
      <c r="E17" s="35">
        <v>3.9</v>
      </c>
      <c r="F17" s="35">
        <v>1.4</v>
      </c>
      <c r="G17" s="35">
        <v>1.8</v>
      </c>
      <c r="H17" s="35">
        <v>127</v>
      </c>
      <c r="I17" s="35">
        <v>3</v>
      </c>
      <c r="J17" s="35">
        <v>649</v>
      </c>
      <c r="K17" s="35">
        <v>20</v>
      </c>
      <c r="L17" s="35">
        <v>16</v>
      </c>
      <c r="M17" s="35">
        <v>0</v>
      </c>
    </row>
    <row r="18" spans="1:13" ht="12.75" customHeight="1">
      <c r="A18" s="35" t="s">
        <v>51</v>
      </c>
      <c r="B18" s="35">
        <v>89</v>
      </c>
      <c r="C18" s="35">
        <v>12.7</v>
      </c>
      <c r="D18" s="35">
        <v>232</v>
      </c>
      <c r="E18" s="35">
        <v>2.8</v>
      </c>
      <c r="F18" s="35">
        <v>4.3</v>
      </c>
      <c r="G18" s="35">
        <v>10</v>
      </c>
      <c r="H18" s="35">
        <v>390</v>
      </c>
      <c r="I18" s="35">
        <v>34</v>
      </c>
      <c r="J18" s="35">
        <v>20</v>
      </c>
      <c r="K18" s="35">
        <v>151</v>
      </c>
      <c r="L18" s="35">
        <v>19</v>
      </c>
      <c r="M18" s="35">
        <v>0</v>
      </c>
    </row>
    <row r="19" spans="1:13" ht="12.75" customHeight="1">
      <c r="A19" s="35" t="s">
        <v>52</v>
      </c>
      <c r="B19" s="35">
        <v>75</v>
      </c>
      <c r="C19" s="35">
        <v>12.7</v>
      </c>
      <c r="D19" s="35">
        <v>41</v>
      </c>
      <c r="E19" s="35">
        <v>9.6</v>
      </c>
      <c r="F19" s="35">
        <v>4.4</v>
      </c>
      <c r="G19" s="35">
        <v>1.2</v>
      </c>
      <c r="H19" s="35">
        <v>0</v>
      </c>
      <c r="I19" s="35">
        <v>2</v>
      </c>
      <c r="J19" s="35">
        <v>850</v>
      </c>
      <c r="K19" s="35">
        <v>0</v>
      </c>
      <c r="L19" s="35">
        <v>16.4</v>
      </c>
      <c r="M19" s="35">
        <v>0</v>
      </c>
    </row>
    <row r="20" spans="1:13" ht="12.75" customHeight="1">
      <c r="A20" s="35" t="s">
        <v>53</v>
      </c>
      <c r="B20" s="35">
        <v>86</v>
      </c>
      <c r="C20" s="35">
        <v>12.5</v>
      </c>
      <c r="D20" s="35">
        <v>129</v>
      </c>
      <c r="E20" s="35">
        <v>5.9</v>
      </c>
      <c r="F20" s="35">
        <v>1</v>
      </c>
      <c r="G20" s="35">
        <v>0.7</v>
      </c>
      <c r="H20" s="35">
        <v>294</v>
      </c>
      <c r="I20" s="35">
        <v>4</v>
      </c>
      <c r="J20" s="35">
        <v>296</v>
      </c>
      <c r="K20" s="35">
        <v>5</v>
      </c>
      <c r="L20" s="35">
        <v>17.1</v>
      </c>
      <c r="M20" s="35">
        <v>0</v>
      </c>
    </row>
    <row r="21" spans="1:13" ht="12.75" customHeight="1">
      <c r="A21" s="35" t="s">
        <v>54</v>
      </c>
      <c r="B21" s="35">
        <v>87</v>
      </c>
      <c r="C21" s="35">
        <v>13.6</v>
      </c>
      <c r="D21" s="35">
        <v>123</v>
      </c>
      <c r="E21" s="35">
        <v>0.6</v>
      </c>
      <c r="F21" s="35">
        <v>1.1</v>
      </c>
      <c r="G21" s="35">
        <v>3.4</v>
      </c>
      <c r="H21" s="35">
        <v>66</v>
      </c>
      <c r="I21" s="35">
        <v>19</v>
      </c>
      <c r="J21" s="35">
        <v>58</v>
      </c>
      <c r="K21" s="35">
        <v>660</v>
      </c>
      <c r="L21" s="35">
        <v>18.4</v>
      </c>
      <c r="M21" s="35">
        <v>0</v>
      </c>
    </row>
    <row r="22" spans="1:13" ht="12.75" customHeight="1">
      <c r="A22" s="35" t="s">
        <v>55</v>
      </c>
      <c r="B22" s="35">
        <v>28</v>
      </c>
      <c r="C22" s="35">
        <v>11.7</v>
      </c>
      <c r="D22" s="35">
        <v>245</v>
      </c>
      <c r="E22" s="35">
        <v>3.3</v>
      </c>
      <c r="F22" s="35">
        <v>1.5</v>
      </c>
      <c r="G22" s="35">
        <v>4.1</v>
      </c>
      <c r="H22" s="35">
        <v>572</v>
      </c>
      <c r="I22" s="35">
        <v>77</v>
      </c>
      <c r="J22" s="35">
        <v>10</v>
      </c>
      <c r="K22" s="35">
        <v>57</v>
      </c>
      <c r="L22" s="35">
        <v>21.5</v>
      </c>
      <c r="M22" s="35">
        <v>0</v>
      </c>
    </row>
    <row r="23" spans="1:13" ht="12.75" customHeight="1">
      <c r="A23" s="35" t="s">
        <v>56</v>
      </c>
      <c r="B23" s="35">
        <v>92</v>
      </c>
      <c r="C23" s="35">
        <v>14.2</v>
      </c>
      <c r="D23" s="35">
        <v>694</v>
      </c>
      <c r="E23" s="35">
        <v>56.2</v>
      </c>
      <c r="F23" s="35">
        <v>2.3</v>
      </c>
      <c r="G23" s="35">
        <v>38.1</v>
      </c>
      <c r="H23" s="35">
        <v>0</v>
      </c>
      <c r="I23" s="35">
        <v>81</v>
      </c>
      <c r="J23" s="35">
        <v>1</v>
      </c>
      <c r="K23" s="35">
        <v>1</v>
      </c>
      <c r="L23" s="35">
        <v>19.7</v>
      </c>
      <c r="M23" s="35">
        <v>0</v>
      </c>
    </row>
    <row r="24" spans="1:13" ht="12.75" customHeight="1">
      <c r="A24" s="35" t="s">
        <v>57</v>
      </c>
      <c r="B24" s="35">
        <v>90</v>
      </c>
      <c r="C24" s="35">
        <v>12.8</v>
      </c>
      <c r="D24" s="35">
        <v>216</v>
      </c>
      <c r="E24" s="35">
        <v>2.3</v>
      </c>
      <c r="F24" s="35">
        <v>3</v>
      </c>
      <c r="G24" s="35">
        <v>5.6</v>
      </c>
      <c r="H24" s="35">
        <v>692</v>
      </c>
      <c r="I24" s="35">
        <v>68</v>
      </c>
      <c r="J24" s="35">
        <v>39</v>
      </c>
      <c r="K24" s="35">
        <v>12</v>
      </c>
      <c r="L24" s="35">
        <v>20.4</v>
      </c>
      <c r="M24" s="35">
        <v>0</v>
      </c>
    </row>
    <row r="25" spans="1:13" ht="12.75" customHeight="1">
      <c r="A25" s="35" t="s">
        <v>58</v>
      </c>
      <c r="B25" s="35">
        <v>90</v>
      </c>
      <c r="C25" s="35">
        <v>12</v>
      </c>
      <c r="D25" s="35">
        <v>418</v>
      </c>
      <c r="E25" s="35">
        <v>7.8</v>
      </c>
      <c r="F25" s="35">
        <v>4.5</v>
      </c>
      <c r="G25" s="35">
        <v>12</v>
      </c>
      <c r="H25" s="35">
        <v>279</v>
      </c>
      <c r="I25" s="35">
        <v>23</v>
      </c>
      <c r="J25" s="35">
        <v>103</v>
      </c>
      <c r="K25" s="35">
        <v>40</v>
      </c>
      <c r="L25" s="35">
        <v>19.5</v>
      </c>
      <c r="M25" s="35">
        <v>0</v>
      </c>
    </row>
    <row r="26" spans="1:13" ht="12.75" customHeight="1">
      <c r="A26" s="35" t="s">
        <v>59</v>
      </c>
      <c r="B26" s="35">
        <v>89</v>
      </c>
      <c r="C26" s="35">
        <v>14.7</v>
      </c>
      <c r="D26" s="35">
        <v>360</v>
      </c>
      <c r="E26" s="35">
        <v>4.5</v>
      </c>
      <c r="F26" s="35">
        <v>3</v>
      </c>
      <c r="G26" s="35">
        <v>5.8</v>
      </c>
      <c r="H26" s="35">
        <v>200</v>
      </c>
      <c r="I26" s="35">
        <v>180</v>
      </c>
      <c r="J26" s="35">
        <v>20</v>
      </c>
      <c r="K26" s="35">
        <v>20</v>
      </c>
      <c r="L26" s="35">
        <v>21</v>
      </c>
      <c r="M26" s="35">
        <v>0</v>
      </c>
    </row>
    <row r="27" spans="1:13" ht="12.75" customHeight="1">
      <c r="A27" s="35" t="s">
        <v>60</v>
      </c>
      <c r="B27" s="35">
        <v>90</v>
      </c>
      <c r="C27" s="35">
        <v>13.5</v>
      </c>
      <c r="D27" s="35">
        <v>504</v>
      </c>
      <c r="E27" s="35">
        <v>2.3</v>
      </c>
      <c r="F27" s="35">
        <v>3</v>
      </c>
      <c r="G27" s="35">
        <v>9.7</v>
      </c>
      <c r="H27" s="35">
        <v>290</v>
      </c>
      <c r="I27" s="35">
        <v>66</v>
      </c>
      <c r="J27" s="35">
        <v>20</v>
      </c>
      <c r="K27" s="35">
        <v>20</v>
      </c>
      <c r="L27" s="35">
        <v>19.7</v>
      </c>
      <c r="M27" s="35">
        <v>0</v>
      </c>
    </row>
    <row r="28" spans="1:13" ht="12.75" customHeight="1">
      <c r="A28" s="35" t="s">
        <v>61</v>
      </c>
      <c r="B28" s="36">
        <v>87</v>
      </c>
      <c r="C28" s="36">
        <v>12</v>
      </c>
      <c r="D28" s="36">
        <v>184</v>
      </c>
      <c r="E28" s="36">
        <v>15</v>
      </c>
      <c r="F28" s="36">
        <v>5</v>
      </c>
      <c r="G28" s="36">
        <v>7</v>
      </c>
      <c r="H28" s="36">
        <v>300</v>
      </c>
      <c r="I28" s="36">
        <v>50</v>
      </c>
      <c r="J28" s="36">
        <v>80</v>
      </c>
      <c r="K28" s="36">
        <v>120</v>
      </c>
      <c r="L28" s="36">
        <v>18.4</v>
      </c>
      <c r="M28" s="36">
        <v>0</v>
      </c>
    </row>
    <row r="29" spans="1:13" ht="12.75" customHeight="1">
      <c r="A29" s="35" t="s">
        <v>62</v>
      </c>
      <c r="B29" s="36">
        <v>87</v>
      </c>
      <c r="C29" s="36">
        <v>12.2</v>
      </c>
      <c r="D29" s="36">
        <v>207</v>
      </c>
      <c r="E29" s="36">
        <v>15</v>
      </c>
      <c r="F29" s="36">
        <v>5</v>
      </c>
      <c r="G29" s="36">
        <v>7</v>
      </c>
      <c r="H29" s="36">
        <v>210</v>
      </c>
      <c r="I29" s="36">
        <v>50</v>
      </c>
      <c r="J29" s="36">
        <v>80</v>
      </c>
      <c r="K29" s="36">
        <v>150</v>
      </c>
      <c r="L29" s="36">
        <v>18.6</v>
      </c>
      <c r="M29" s="36">
        <v>0</v>
      </c>
    </row>
    <row r="30" spans="1:13" ht="12.75" customHeight="1">
      <c r="A30" s="35" t="s">
        <v>63</v>
      </c>
      <c r="B30" s="36">
        <v>87</v>
      </c>
      <c r="C30" s="36">
        <v>13</v>
      </c>
      <c r="D30" s="36">
        <v>230</v>
      </c>
      <c r="E30" s="36">
        <v>11</v>
      </c>
      <c r="F30" s="36">
        <v>6</v>
      </c>
      <c r="G30" s="36">
        <v>8</v>
      </c>
      <c r="H30" s="36">
        <v>180</v>
      </c>
      <c r="I30" s="36">
        <v>50</v>
      </c>
      <c r="J30" s="36">
        <v>80</v>
      </c>
      <c r="K30" s="36">
        <v>200</v>
      </c>
      <c r="L30" s="36">
        <v>18.8</v>
      </c>
      <c r="M30" s="36">
        <v>0</v>
      </c>
    </row>
    <row r="31" spans="1:13" ht="12.75" customHeight="1">
      <c r="A31" s="35" t="s">
        <v>64</v>
      </c>
      <c r="B31" s="36">
        <v>87</v>
      </c>
      <c r="C31" s="36">
        <v>13</v>
      </c>
      <c r="D31" s="36">
        <v>270</v>
      </c>
      <c r="E31" s="36">
        <v>12</v>
      </c>
      <c r="F31" s="36">
        <v>6</v>
      </c>
      <c r="G31" s="36">
        <v>8</v>
      </c>
      <c r="H31" s="36">
        <v>170</v>
      </c>
      <c r="I31" s="36">
        <v>50</v>
      </c>
      <c r="J31" s="36">
        <v>80</v>
      </c>
      <c r="K31" s="36">
        <v>220</v>
      </c>
      <c r="L31" s="36">
        <v>19</v>
      </c>
      <c r="M31" s="36">
        <v>0</v>
      </c>
    </row>
    <row r="32" spans="1:13" ht="12.75" customHeight="1">
      <c r="A32" s="35" t="s">
        <v>65</v>
      </c>
      <c r="B32" s="36">
        <v>87</v>
      </c>
      <c r="C32" s="36">
        <v>13</v>
      </c>
      <c r="D32" s="36">
        <v>310</v>
      </c>
      <c r="E32" s="36">
        <v>10</v>
      </c>
      <c r="F32" s="36">
        <v>6</v>
      </c>
      <c r="G32" s="36">
        <v>10</v>
      </c>
      <c r="H32" s="36">
        <v>170</v>
      </c>
      <c r="I32" s="36">
        <v>50</v>
      </c>
      <c r="J32" s="36">
        <v>80</v>
      </c>
      <c r="K32" s="36">
        <v>280</v>
      </c>
      <c r="L32" s="36">
        <v>19.1</v>
      </c>
      <c r="M32" s="36">
        <v>0</v>
      </c>
    </row>
    <row r="33" spans="1:13" ht="12.75" customHeight="1">
      <c r="A33" s="35" t="s">
        <v>66</v>
      </c>
      <c r="B33" s="36">
        <v>87</v>
      </c>
      <c r="C33" s="36">
        <v>13</v>
      </c>
      <c r="D33" s="36">
        <v>340</v>
      </c>
      <c r="E33" s="36">
        <v>10</v>
      </c>
      <c r="F33" s="36">
        <v>8</v>
      </c>
      <c r="G33" s="36">
        <v>12</v>
      </c>
      <c r="H33" s="36">
        <v>170</v>
      </c>
      <c r="I33" s="36">
        <v>50</v>
      </c>
      <c r="J33" s="36">
        <v>80</v>
      </c>
      <c r="K33" s="36">
        <v>280</v>
      </c>
      <c r="L33" s="36">
        <v>19.2</v>
      </c>
      <c r="M33" s="36">
        <v>0</v>
      </c>
    </row>
    <row r="34" spans="1:13" ht="12.75" customHeight="1">
      <c r="A34" s="35" t="s">
        <v>67</v>
      </c>
      <c r="B34" s="36">
        <v>87</v>
      </c>
      <c r="C34" s="36">
        <v>13</v>
      </c>
      <c r="D34" s="36">
        <v>440</v>
      </c>
      <c r="E34" s="36">
        <v>10</v>
      </c>
      <c r="F34" s="36">
        <v>8</v>
      </c>
      <c r="G34" s="36">
        <v>15</v>
      </c>
      <c r="H34" s="36">
        <v>170</v>
      </c>
      <c r="I34" s="36">
        <v>50</v>
      </c>
      <c r="J34" s="36">
        <v>80</v>
      </c>
      <c r="K34" s="36">
        <v>280</v>
      </c>
      <c r="L34" s="36">
        <v>19.3</v>
      </c>
      <c r="M34" s="36">
        <v>0</v>
      </c>
    </row>
    <row r="35" spans="1:13" ht="12.75" customHeight="1">
      <c r="A35" s="35" t="s">
        <v>68</v>
      </c>
      <c r="B35" s="35">
        <v>99</v>
      </c>
      <c r="C35" s="35">
        <v>0</v>
      </c>
      <c r="D35" s="35">
        <v>0</v>
      </c>
      <c r="E35" s="35">
        <v>122</v>
      </c>
      <c r="F35" s="35">
        <v>80</v>
      </c>
      <c r="G35" s="35">
        <v>60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</row>
    <row r="36" spans="1:13" ht="12.75" customHeight="1">
      <c r="A36" s="35" t="s">
        <v>69</v>
      </c>
      <c r="B36" s="35">
        <v>99</v>
      </c>
      <c r="C36" s="35">
        <v>0</v>
      </c>
      <c r="D36" s="35">
        <v>0</v>
      </c>
      <c r="E36" s="35">
        <v>160</v>
      </c>
      <c r="F36" s="35">
        <v>30</v>
      </c>
      <c r="G36" s="35">
        <v>120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</row>
    <row r="37" spans="1:13" ht="12.75" customHeight="1">
      <c r="A37" s="35" t="s">
        <v>70</v>
      </c>
      <c r="B37" s="35">
        <v>99</v>
      </c>
      <c r="C37" s="35">
        <v>35</v>
      </c>
      <c r="D37" s="35">
        <v>0</v>
      </c>
      <c r="E37" s="35">
        <v>10</v>
      </c>
      <c r="F37" s="35">
        <v>0</v>
      </c>
      <c r="G37" s="35">
        <v>0</v>
      </c>
      <c r="H37" s="35">
        <v>0</v>
      </c>
      <c r="I37" s="35">
        <v>990</v>
      </c>
      <c r="J37" s="35">
        <v>0</v>
      </c>
      <c r="K37" s="35">
        <v>0</v>
      </c>
      <c r="L37" s="35">
        <v>35</v>
      </c>
      <c r="M37" s="35">
        <v>0</v>
      </c>
    </row>
    <row r="38" spans="1:13" ht="12.75" customHeight="1">
      <c r="A38" s="37" t="s">
        <v>96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2.75" customHeight="1">
      <c r="A39" s="37" t="s">
        <v>97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2.75" customHeight="1">
      <c r="A40" s="37" t="s">
        <v>98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2.75" customHeight="1">
      <c r="A41" s="37" t="s">
        <v>99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2.75" customHeight="1">
      <c r="A42" s="37" t="s">
        <v>100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ht="12.75" customHeight="1">
      <c r="A43" s="37" t="s">
        <v>101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2.75" customHeight="1">
      <c r="A44" s="37" t="s">
        <v>102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2.75" customHeight="1">
      <c r="A45" s="37" t="s">
        <v>103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ht="12.75" customHeight="1">
      <c r="A46" s="37" t="s">
        <v>104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2.75" customHeight="1">
      <c r="A47" s="37" t="s">
        <v>105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2.75" customHeight="1">
      <c r="A48" s="37" t="s">
        <v>106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12.75" customHeight="1">
      <c r="A49" s="37" t="s">
        <v>107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ht="12.75" customHeight="1">
      <c r="A50" s="37" t="s">
        <v>108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 customHeight="1">
      <c r="A51" s="37" t="s">
        <v>109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7" t="s">
        <v>110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7" t="s">
        <v>111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2.75" customHeight="1">
      <c r="A54" s="37" t="s">
        <v>112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2.75" customHeight="1">
      <c r="A55" s="37" t="s">
        <v>113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2.75" customHeight="1">
      <c r="A56" s="37" t="s">
        <v>114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12.75" customHeight="1">
      <c r="A57" s="37" t="s">
        <v>115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12.75" customHeight="1">
      <c r="A58" s="37" t="s">
        <v>116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ht="12.75" customHeight="1">
      <c r="A59" s="37" t="s">
        <v>117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2.75" customHeight="1">
      <c r="A60" s="37" t="s">
        <v>118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2.75" customHeight="1">
      <c r="A61" s="37" t="s">
        <v>119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12.75" customHeight="1">
      <c r="A62" s="37" t="s">
        <v>120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12.75" customHeight="1">
      <c r="A63" s="37" t="s">
        <v>121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2.75" customHeight="1">
      <c r="A64" s="37" t="s">
        <v>150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12.75" customHeight="1">
      <c r="A65" s="37" t="s">
        <v>151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12.75" customHeight="1">
      <c r="A66" s="37" t="s">
        <v>152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</sheetData>
  <sheetProtection password="DE59" sheet="1" objects="1" scenarios="1"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41"/>
  <sheetViews>
    <sheetView showGridLines="0" showRowColHeaders="0" tabSelected="1" zoomScalePageLayoutView="0" workbookViewId="0" topLeftCell="A1">
      <selection activeCell="B43" sqref="B43"/>
    </sheetView>
  </sheetViews>
  <sheetFormatPr defaultColWidth="9.140625" defaultRowHeight="12.75"/>
  <cols>
    <col min="1" max="1" width="9.140625" style="32" customWidth="1"/>
    <col min="2" max="2" width="100.8515625" style="32" customWidth="1"/>
    <col min="3" max="16384" width="9.140625" style="32" customWidth="1"/>
  </cols>
  <sheetData>
    <row r="1" s="39" customFormat="1" ht="18">
      <c r="B1" s="38" t="s">
        <v>167</v>
      </c>
    </row>
    <row r="2" s="40" customFormat="1" ht="12.75">
      <c r="B2" s="34" t="s">
        <v>164</v>
      </c>
    </row>
    <row r="4" ht="12.75">
      <c r="B4" s="32" t="s">
        <v>71</v>
      </c>
    </row>
    <row r="5" ht="12.75">
      <c r="B5" s="32" t="s">
        <v>88</v>
      </c>
    </row>
    <row r="6" ht="12.75">
      <c r="B6" s="41" t="s">
        <v>153</v>
      </c>
    </row>
    <row r="7" ht="12.75">
      <c r="B7" s="32" t="s">
        <v>83</v>
      </c>
    </row>
    <row r="8" ht="12.75">
      <c r="B8" s="32" t="s">
        <v>72</v>
      </c>
    </row>
    <row r="9" ht="12.75">
      <c r="B9" s="32" t="s">
        <v>84</v>
      </c>
    </row>
    <row r="10" ht="12.75">
      <c r="B10" s="41" t="s">
        <v>154</v>
      </c>
    </row>
    <row r="11" ht="12.75">
      <c r="B11" s="41" t="s">
        <v>155</v>
      </c>
    </row>
    <row r="13" ht="12.75">
      <c r="B13" s="32" t="s">
        <v>85</v>
      </c>
    </row>
    <row r="14" ht="12.75">
      <c r="B14" s="32" t="s">
        <v>86</v>
      </c>
    </row>
    <row r="15" ht="12.75">
      <c r="B15" s="32" t="s">
        <v>87</v>
      </c>
    </row>
    <row r="16" ht="12.75">
      <c r="B16" s="41" t="s">
        <v>89</v>
      </c>
    </row>
    <row r="17" ht="12.75">
      <c r="B17" s="41" t="s">
        <v>156</v>
      </c>
    </row>
    <row r="19" ht="12.75">
      <c r="B19" s="40" t="s">
        <v>73</v>
      </c>
    </row>
    <row r="20" ht="12.75">
      <c r="B20" s="32" t="s">
        <v>74</v>
      </c>
    </row>
    <row r="21" ht="12.75">
      <c r="B21" s="32" t="s">
        <v>75</v>
      </c>
    </row>
    <row r="22" ht="12.75">
      <c r="B22" s="41" t="s">
        <v>157</v>
      </c>
    </row>
    <row r="23" ht="12.75">
      <c r="B23" s="32" t="s">
        <v>77</v>
      </c>
    </row>
    <row r="24" ht="12.75">
      <c r="B24" s="32" t="s">
        <v>76</v>
      </c>
    </row>
    <row r="25" ht="12.75">
      <c r="B25" s="41" t="s">
        <v>158</v>
      </c>
    </row>
    <row r="26" ht="12.75">
      <c r="B26" s="41" t="s">
        <v>159</v>
      </c>
    </row>
    <row r="27" ht="12.75">
      <c r="B27" s="32" t="s">
        <v>78</v>
      </c>
    </row>
    <row r="28" ht="12.75">
      <c r="B28" s="41" t="s">
        <v>160</v>
      </c>
    </row>
    <row r="29" ht="12.75">
      <c r="B29" s="41" t="s">
        <v>161</v>
      </c>
    </row>
    <row r="31" ht="12.75">
      <c r="B31" s="41" t="s">
        <v>162</v>
      </c>
    </row>
    <row r="32" ht="12.75">
      <c r="B32" s="41" t="s">
        <v>163</v>
      </c>
    </row>
    <row r="34" ht="12.75">
      <c r="B34" s="32" t="s">
        <v>80</v>
      </c>
    </row>
    <row r="35" ht="12.75">
      <c r="B35" s="32" t="s">
        <v>81</v>
      </c>
    </row>
    <row r="37" ht="12.75">
      <c r="B37" s="41" t="s">
        <v>165</v>
      </c>
    </row>
    <row r="38" ht="12.75">
      <c r="B38" s="32" t="s">
        <v>79</v>
      </c>
    </row>
    <row r="39" ht="12.75">
      <c r="B39" s="41" t="s">
        <v>166</v>
      </c>
    </row>
    <row r="41" ht="12.75">
      <c r="B41" s="32" t="s">
        <v>82</v>
      </c>
    </row>
  </sheetData>
  <sheetProtection password="DE59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Tom Chamberlain</cp:lastModifiedBy>
  <cp:lastPrinted>2011-07-18T14:53:22Z</cp:lastPrinted>
  <dcterms:created xsi:type="dcterms:W3CDTF">2011-07-18T13:07:50Z</dcterms:created>
  <dcterms:modified xsi:type="dcterms:W3CDTF">2011-07-18T15:47:39Z</dcterms:modified>
  <cp:category/>
  <cp:version/>
  <cp:contentType/>
  <cp:contentStatus/>
</cp:coreProperties>
</file>